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00" windowWidth="19170" windowHeight="6660" activeTab="0"/>
  </bookViews>
  <sheets>
    <sheet name="Power Save ROI Calculator" sheetId="1" r:id="rId1"/>
    <sheet name="Power Save ROI - Formulae" sheetId="2" r:id="rId2"/>
  </sheets>
  <definedNames>
    <definedName name="_xlnm.Print_Area" localSheetId="1">'Power Save ROI - Formulae'!$A$1:$O$51</definedName>
    <definedName name="_xlnm.Print_Area" localSheetId="0">'Power Save ROI Calculator'!$A$1:$M$51</definedName>
    <definedName name="BDY" localSheetId="1">'Power Save ROI - Formulae'!$G$15</definedName>
    <definedName name="BDY" localSheetId="0">'Power Save ROI Calculator'!$E$15</definedName>
    <definedName name="BDY">#REF!</definedName>
    <definedName name="city">'Power Save ROI Calculator'!$I$10</definedName>
    <definedName name="comment">'Power Save ROI Calculator'!$H$19</definedName>
    <definedName name="company">'Power Save ROI Calculator'!$I$6</definedName>
    <definedName name="country">'Power Save ROI Calculator'!$I$12</definedName>
    <definedName name="ECYMPOCorp" localSheetId="1">'Power Save ROI - Formulae'!$J$36</definedName>
    <definedName name="ECYMPOCorp" localSheetId="0">'Power Save ROI Calculator'!$H$36</definedName>
    <definedName name="ECYMPOCorp">#REF!</definedName>
    <definedName name="ECYMPOEduc" localSheetId="1">'Power Save ROI - Formulae'!$L$36</definedName>
    <definedName name="ECYMPOEduc" localSheetId="0">'Power Save ROI Calculator'!$J$36</definedName>
    <definedName name="ECYMPOEduc">#REF!</definedName>
    <definedName name="ECYNoPSCorp" localSheetId="1">'Power Save ROI - Formulae'!$J$35</definedName>
    <definedName name="ECYNoPSCorp" localSheetId="0">'Power Save ROI Calculator'!$H$35</definedName>
    <definedName name="ECYNoPSCorp">#REF!</definedName>
    <definedName name="ECYNoPSEduc" localSheetId="1">'Power Save ROI - Formulae'!$L$35</definedName>
    <definedName name="ECYNoPSEduc" localSheetId="0">'Power Save ROI Calculator'!$J$35</definedName>
    <definedName name="ECYNoPSEduc">#REF!</definedName>
    <definedName name="ECYWithPSCorp" localSheetId="1">'Power Save ROI - Formulae'!$K$35</definedName>
    <definedName name="ECYWithPSCorp" localSheetId="0">'Power Save ROI Calculator'!$I$35</definedName>
    <definedName name="ECYWithPSCorp">#REF!</definedName>
    <definedName name="ECYWithPSEduc" localSheetId="1">'Power Save ROI - Formulae'!$M$35</definedName>
    <definedName name="ECYWithPSEduc" localSheetId="0">'Power Save ROI Calculator'!$K$35</definedName>
    <definedName name="ECYWithPSEduc">#REF!</definedName>
    <definedName name="email">'Power Save ROI Calculator'!$I$9</definedName>
    <definedName name="ET" localSheetId="1">'Power Save ROI - Formulae'!$G$7</definedName>
    <definedName name="ET" localSheetId="0">'Power Save ROI Calculator'!$E$7</definedName>
    <definedName name="ET">#REF!</definedName>
    <definedName name="MCO" localSheetId="1">'Power Save ROI - Formulae'!$G$19</definedName>
    <definedName name="MCO" localSheetId="0">'Power Save ROI Calculator'!$E$19</definedName>
    <definedName name="MCO">#REF!</definedName>
    <definedName name="MCS" localSheetId="1">'Power Save ROI - Formulae'!$G$20</definedName>
    <definedName name="MCS" localSheetId="0">'Power Save ROI Calculator'!$E$20</definedName>
    <definedName name="MCS">#REF!</definedName>
    <definedName name="MCYCorp" localSheetId="1">'Power Save ROI - Formulae'!$J$32</definedName>
    <definedName name="MCYCorp" localSheetId="0">'Power Save ROI Calculator'!$H$32</definedName>
    <definedName name="MCYCorp">#REF!</definedName>
    <definedName name="MCYEduc" localSheetId="1">'Power Save ROI - Formulae'!$L$32</definedName>
    <definedName name="MCYEduc" localSheetId="0">'Power Save ROI Calculator'!$J$32</definedName>
    <definedName name="MCYEduc">#REF!</definedName>
    <definedName name="MNHYNoPSCorp" localSheetId="1">'Power Save ROI - Formulae'!$J$29</definedName>
    <definedName name="MNHYNoPSCorp" localSheetId="0">'Power Save ROI Calculator'!$H$29</definedName>
    <definedName name="MNHYNoPSCorp">#REF!</definedName>
    <definedName name="MNHYNoPSEduc" localSheetId="1">'Power Save ROI - Formulae'!$L$29</definedName>
    <definedName name="MNHYNoPSEduc" localSheetId="0">'Power Save ROI Calculator'!$J$29</definedName>
    <definedName name="MNHYNoPSEduc">#REF!</definedName>
    <definedName name="MNHYWithPSCorp" localSheetId="1">'Power Save ROI - Formulae'!$K$29</definedName>
    <definedName name="MNHYWithPSCorp" localSheetId="0">'Power Save ROI Calculator'!$I$29</definedName>
    <definedName name="MNHYWithPSCorp">#REF!</definedName>
    <definedName name="MNHYWithPSEduc" localSheetId="1">'Power Save ROI - Formulae'!$M$29</definedName>
    <definedName name="MNHYWithPSEduc" localSheetId="0">'Power Save ROI Calculator'!$K$29</definedName>
    <definedName name="MNHYWithPSEduc">#REF!</definedName>
    <definedName name="MOHDNoPS" localSheetId="1">'Power Save ROI - Formulae'!$G$12</definedName>
    <definedName name="MOHDNoPS" localSheetId="0">'Power Save ROI Calculator'!$E$12</definedName>
    <definedName name="MOHDNoPS">#REF!</definedName>
    <definedName name="MOHDWithPS" localSheetId="1">'Power Save ROI - Formulae'!$G$13</definedName>
    <definedName name="MOHDWithPS" localSheetId="0">'Power Save ROI Calculator'!$E$13</definedName>
    <definedName name="MOHDWithPS">#REF!</definedName>
    <definedName name="MOHYNoPSCorp" localSheetId="1">'Power Save ROI - Formulae'!$J$28</definedName>
    <definedName name="MOHYNoPSCorp" localSheetId="0">'Power Save ROI Calculator'!$H$28</definedName>
    <definedName name="MOHYNoPSCorp">#REF!</definedName>
    <definedName name="MOHYNoPSEduc" localSheetId="1">'Power Save ROI - Formulae'!$L$28</definedName>
    <definedName name="MOHYNoPSEduc" localSheetId="0">'Power Save ROI Calculator'!$J$28</definedName>
    <definedName name="MOHYNoPSEduc">#REF!</definedName>
    <definedName name="MOHYWithPSCorp" localSheetId="1">'Power Save ROI - Formulae'!$K$28</definedName>
    <definedName name="MOHYWithPSCorp" localSheetId="0">'Power Save ROI Calculator'!$I$28</definedName>
    <definedName name="MOHYWithPSCorp">#REF!</definedName>
    <definedName name="MOHYWithPSEduc" localSheetId="1">'Power Save ROI - Formulae'!$M$28</definedName>
    <definedName name="MOHYWithPSEduc" localSheetId="0">'Power Save ROI Calculator'!$K$28</definedName>
    <definedName name="MOHYWithPSEduc">#REF!</definedName>
    <definedName name="name">'Power Save ROI Calculator'!$I$5</definedName>
    <definedName name="NC" localSheetId="1">'Power Save ROI - Formulae'!$G$6</definedName>
    <definedName name="NC" localSheetId="0">'Power Save ROI Calculator'!$E$6</definedName>
    <definedName name="NC">#REF!</definedName>
    <definedName name="NHYNoPSCorp" localSheetId="1">'Power Save ROI - Formulae'!#REF!</definedName>
    <definedName name="NHYNoPSCorp" localSheetId="0">'Power Save ROI Calculator'!#REF!</definedName>
    <definedName name="NHYNoPSCorp">#REF!</definedName>
    <definedName name="NHYNoPSEduc" localSheetId="1">'Power Save ROI - Formulae'!#REF!</definedName>
    <definedName name="NHYNoPSEduc" localSheetId="0">'Power Save ROI Calculator'!#REF!</definedName>
    <definedName name="NHYNoPSEduc">#REF!</definedName>
    <definedName name="NHYWithPSCorp" localSheetId="1">'Power Save ROI - Formulae'!#REF!</definedName>
    <definedName name="NHYWithPSCorp" localSheetId="0">'Power Save ROI Calculator'!#REF!</definedName>
    <definedName name="NHYWithPSCorp">#REF!</definedName>
    <definedName name="NHYWithPSEduc" localSheetId="1">'Power Save ROI - Formulae'!#REF!</definedName>
    <definedName name="NHYWithPSEduc" localSheetId="0">'Power Save ROI Calculator'!#REF!</definedName>
    <definedName name="NHYWithPSEduc">#REF!</definedName>
    <definedName name="OHDNoPS" localSheetId="1">'Power Save ROI - Formulae'!#REF!</definedName>
    <definedName name="OHDNoPS" localSheetId="0">'Power Save ROI Calculator'!#REF!</definedName>
    <definedName name="OHDNoPS">#REF!</definedName>
    <definedName name="OHDWithPS" localSheetId="1">'Power Save ROI - Formulae'!#REF!</definedName>
    <definedName name="OHDWithPS" localSheetId="0">'Power Save ROI Calculator'!#REF!</definedName>
    <definedName name="OHDWithPS">#REF!</definedName>
    <definedName name="OHYNoPSCorp" localSheetId="1">'Power Save ROI - Formulae'!#REF!</definedName>
    <definedName name="OHYNoPSCorp" localSheetId="0">'Power Save ROI Calculator'!#REF!</definedName>
    <definedName name="OHYNoPSCorp">#REF!</definedName>
    <definedName name="OHYNoPSEduc" localSheetId="1">'Power Save ROI - Formulae'!#REF!</definedName>
    <definedName name="OHYNoPSEduc" localSheetId="0">'Power Save ROI Calculator'!#REF!</definedName>
    <definedName name="OHYNoPSEduc">#REF!</definedName>
    <definedName name="OHYWithPSCorp" localSheetId="1">'Power Save ROI - Formulae'!#REF!</definedName>
    <definedName name="OHYWithPSCorp" localSheetId="0">'Power Save ROI Calculator'!#REF!</definedName>
    <definedName name="OHYWithPSCorp">#REF!</definedName>
    <definedName name="OHYWithPSEduc" localSheetId="1">'Power Save ROI - Formulae'!#REF!</definedName>
    <definedName name="OHYWithPSEduc" localSheetId="0">'Power Save ROI Calculator'!#REF!</definedName>
    <definedName name="OHYWithPSEduc">#REF!</definedName>
    <definedName name="PCCO" localSheetId="1">'Power Save ROI - Formulae'!$G$17</definedName>
    <definedName name="PCCO" localSheetId="0">'Power Save ROI Calculator'!$E$17</definedName>
    <definedName name="PCCO">#REF!</definedName>
    <definedName name="PCCS" localSheetId="1">'Power Save ROI - Formulae'!$G$18</definedName>
    <definedName name="PCCS" localSheetId="0">'Power Save ROI Calculator'!$E$18</definedName>
    <definedName name="PCCS">#REF!</definedName>
    <definedName name="PCCYMPOCorp" localSheetId="1">'Power Save ROI - Formulae'!$J$31</definedName>
    <definedName name="PCCYMPOCorp" localSheetId="0">'Power Save ROI Calculator'!$H$31</definedName>
    <definedName name="PCCYMPOCorp">#REF!</definedName>
    <definedName name="PCCYMPOEduc" localSheetId="1">'Power Save ROI - Formulae'!$L$31</definedName>
    <definedName name="PCCYMPOEduc" localSheetId="0">'Power Save ROI Calculator'!$J$31</definedName>
    <definedName name="PCCYMPOEduc">#REF!</definedName>
    <definedName name="PCCYNoPSCorp" localSheetId="1">'Power Save ROI - Formulae'!$J$30</definedName>
    <definedName name="PCCYNoPSCorp" localSheetId="0">'Power Save ROI Calculator'!$H$30</definedName>
    <definedName name="PCCYNoPSCorp">#REF!</definedName>
    <definedName name="PCCYNoPSEduc" localSheetId="1">'Power Save ROI - Formulae'!$L$30</definedName>
    <definedName name="PCCYNoPSEduc" localSheetId="0">'Power Save ROI Calculator'!$J$30</definedName>
    <definedName name="PCCYNoPSEduc">#REF!</definedName>
    <definedName name="PCCYWithPSCorp" localSheetId="1">'Power Save ROI - Formulae'!$K$30</definedName>
    <definedName name="PCCYWithPSCorp" localSheetId="0">'Power Save ROI Calculator'!$I$30</definedName>
    <definedName name="PCCYWithPSCorp">#REF!</definedName>
    <definedName name="PCCYWithPSEduc" localSheetId="1">'Power Save ROI - Formulae'!$M$30</definedName>
    <definedName name="PCCYWithPSEduc" localSheetId="0">'Power Save ROI Calculator'!$K$30</definedName>
    <definedName name="PCCYWithPSEduc">#REF!</definedName>
    <definedName name="PCMPO" localSheetId="1">'Power Save ROI - Formulae'!$G$14</definedName>
    <definedName name="PCMPO" localSheetId="0">'Power Save ROI Calculator'!$E$14</definedName>
    <definedName name="PCMPO">#REF!</definedName>
    <definedName name="PCNHYNoPSCorp" localSheetId="1">'Power Save ROI - Formulae'!$J$27</definedName>
    <definedName name="PCNHYNoPSCorp" localSheetId="0">'Power Save ROI Calculator'!$H$27</definedName>
    <definedName name="PCNHYNoPSCorp">#REF!</definedName>
    <definedName name="PCNHYNoPSEduc" localSheetId="1">'Power Save ROI - Formulae'!$L$27</definedName>
    <definedName name="PCNHYNoPSEduc" localSheetId="0">'Power Save ROI Calculator'!$J$27</definedName>
    <definedName name="PCNHYNoPSEduc">#REF!</definedName>
    <definedName name="PCNHYWithPSCorp" localSheetId="1">'Power Save ROI - Formulae'!$K$27</definedName>
    <definedName name="PCNHYWithPSCorp" localSheetId="0">'Power Save ROI Calculator'!$I$27</definedName>
    <definedName name="PCNHYWithPSCorp">#REF!</definedName>
    <definedName name="PCNHYWithPSEduc" localSheetId="1">'Power Save ROI - Formulae'!$M$27</definedName>
    <definedName name="PCNHYWithPSEduc" localSheetId="0">'Power Save ROI Calculator'!$K$27</definedName>
    <definedName name="PCNHYWithPSEduc">#REF!</definedName>
    <definedName name="PCOHDNoPS" localSheetId="1">'Power Save ROI - Formulae'!$G$10</definedName>
    <definedName name="PCOHDNoPS" localSheetId="0">'Power Save ROI Calculator'!$E$10</definedName>
    <definedName name="PCOHDNoPS">#REF!</definedName>
    <definedName name="PCOHDWithPS" localSheetId="1">'Power Save ROI - Formulae'!$G$11</definedName>
    <definedName name="PCOHDWithPS" localSheetId="0">'Power Save ROI Calculator'!$E$11</definedName>
    <definedName name="PCOHDWithPS">#REF!</definedName>
    <definedName name="PCOHYNoPSCorp" localSheetId="1">'Power Save ROI - Formulae'!$J$26</definedName>
    <definedName name="PCOHYNoPSCorp" localSheetId="0">'Power Save ROI Calculator'!$H$26</definedName>
    <definedName name="PCOHYNoPSCorp">#REF!</definedName>
    <definedName name="PCOHYNoPSEduc" localSheetId="1">'Power Save ROI - Formulae'!$L$26</definedName>
    <definedName name="PCOHYNoPSEduc" localSheetId="0">'Power Save ROI Calculator'!$J$26</definedName>
    <definedName name="PCOHYNoPSEduc">#REF!</definedName>
    <definedName name="PCOHYWithPSCorp" localSheetId="1">'Power Save ROI - Formulae'!$K$26</definedName>
    <definedName name="PCOHYWithPSCorp" localSheetId="0">'Power Save ROI Calculator'!$I$26</definedName>
    <definedName name="PCOHYWithPSCorp">#REF!</definedName>
    <definedName name="PCOHYWithPSEduc" localSheetId="1">'Power Save ROI - Formulae'!$M$26</definedName>
    <definedName name="PCOHYWithPSEduc" localSheetId="0">'Power Save ROI Calculator'!$K$26</definedName>
    <definedName name="PCOHYWithPSEduc">#REF!</definedName>
    <definedName name="phone">'Power Save ROI Calculator'!$I$8</definedName>
    <definedName name="PSCCorp" localSheetId="1">'Power Save ROI - Formulae'!$J$38</definedName>
    <definedName name="PSCCorp" localSheetId="0">'Power Save ROI Calculator'!$H$38</definedName>
    <definedName name="PSCCorp">#REF!</definedName>
    <definedName name="PSCEduc" localSheetId="1">'Power Save ROI - Formulae'!$L$38</definedName>
    <definedName name="PSCEduc" localSheetId="0">'Power Save ROI Calculator'!$J$38</definedName>
    <definedName name="PSCEduc">#REF!</definedName>
    <definedName name="PSPCorp" localSheetId="1">'Power Save ROI - Formulae'!$G$8</definedName>
    <definedName name="PSPCorp" localSheetId="0">'Power Save ROI Calculator'!$E$8</definedName>
    <definedName name="PSPCorp">#REF!</definedName>
    <definedName name="PSPEduc" localSheetId="1">'Power Save ROI - Formulae'!$G$9</definedName>
    <definedName name="PSPEduc" localSheetId="0">'Power Save ROI Calculator'!$E$9</definedName>
    <definedName name="PSPEduc">#REF!</definedName>
    <definedName name="ROSCorp" localSheetId="1">'Power Save ROI - Formulae'!$J$39</definedName>
    <definedName name="ROSCorp" localSheetId="0">'Power Save ROI Calculator'!$H$39</definedName>
    <definedName name="ROSCorp">#REF!</definedName>
    <definedName name="ROSEduc" localSheetId="1">'Power Save ROI - Formulae'!$L$39</definedName>
    <definedName name="ROSEduc" localSheetId="0">'Power Save ROI Calculator'!$J$39</definedName>
    <definedName name="ROSEduc">#REF!</definedName>
    <definedName name="SDY" localSheetId="1">'Power Save ROI - Formulae'!$G$16</definedName>
    <definedName name="SDY" localSheetId="0">'Power Save ROI Calculator'!$E$16</definedName>
    <definedName name="SDY">#REF!</definedName>
    <definedName name="state">'Power Save ROI Calculator'!$I$11</definedName>
    <definedName name="TCANoPSCorp" localSheetId="1">'Power Save ROI - Formulae'!$J$37</definedName>
    <definedName name="TCANoPSCorp" localSheetId="0">'Power Save ROI Calculator'!$H$37</definedName>
    <definedName name="TCANoPSCorp">#REF!</definedName>
    <definedName name="TCANoPSEduc" localSheetId="1">'Power Save ROI - Formulae'!$L$37</definedName>
    <definedName name="TCANoPSEduc" localSheetId="0">'Power Save ROI Calculator'!$J$37</definedName>
    <definedName name="TCANoPSEduc">#REF!</definedName>
    <definedName name="TCAWithPSCorp" localSheetId="1">'Power Save ROI - Formulae'!$K$37</definedName>
    <definedName name="TCAWithPSCorp" localSheetId="0">'Power Save ROI Calculator'!$I$37</definedName>
    <definedName name="TCAWithPSCorp">#REF!</definedName>
    <definedName name="TCAWithPSEduc" localSheetId="1">'Power Save ROI - Formulae'!$M$37</definedName>
    <definedName name="TCAWithPSEduc" localSheetId="0">'Power Save ROI Calculator'!$K$37</definedName>
    <definedName name="TCAWithPSEduc">#REF!</definedName>
    <definedName name="TCYMPOCorp" localSheetId="1">'Power Save ROI - Formulae'!$J$34</definedName>
    <definedName name="TCYMPOCorp" localSheetId="0">'Power Save ROI Calculator'!$H$34</definedName>
    <definedName name="TCYMPOCorp">#REF!</definedName>
    <definedName name="TCYMPOEduc" localSheetId="1">'Power Save ROI - Formulae'!$L$34</definedName>
    <definedName name="TCYMPOEduc" localSheetId="0">'Power Save ROI Calculator'!$J$34</definedName>
    <definedName name="TCYMPOEduc">#REF!</definedName>
    <definedName name="TCYNoPSCorp" localSheetId="1">'Power Save ROI - Formulae'!$J$33</definedName>
    <definedName name="TCYNoPSCorp" localSheetId="0">'Power Save ROI Calculator'!$H$33</definedName>
    <definedName name="TCYNoPSCorp">#REF!</definedName>
    <definedName name="TCYNoPSEduc" localSheetId="1">'Power Save ROI - Formulae'!$L$33</definedName>
    <definedName name="TCYNoPSEduc" localSheetId="0">'Power Save ROI Calculator'!$J$33</definedName>
    <definedName name="TCYNoPSEduc">#REF!</definedName>
    <definedName name="TCYWithPSCorp" localSheetId="1">'Power Save ROI - Formulae'!$K$33</definedName>
    <definedName name="TCYWithPSCorp" localSheetId="0">'Power Save ROI Calculator'!$I$33</definedName>
    <definedName name="TCYWithPSCorp">#REF!</definedName>
    <definedName name="TCYWithPSEduc" localSheetId="1">'Power Save ROI - Formulae'!$M$33</definedName>
    <definedName name="TCYWithPSEduc" localSheetId="0">'Power Save ROI Calculator'!$K$33</definedName>
    <definedName name="TCYWithPSEduc">#REF!</definedName>
    <definedName name="title">'Power Save ROI Calculator'!$I$7</definedName>
  </definedNames>
  <calcPr fullCalcOnLoad="1"/>
</workbook>
</file>

<file path=xl/sharedStrings.xml><?xml version="1.0" encoding="utf-8"?>
<sst xmlns="http://schemas.openxmlformats.org/spreadsheetml/2006/main" count="252" uniqueCount="145">
  <si>
    <t>watts</t>
  </si>
  <si>
    <t>Corporate</t>
  </si>
  <si>
    <t>/ kWh</t>
  </si>
  <si>
    <t>%</t>
  </si>
  <si>
    <t>PC On Hours Per Year</t>
  </si>
  <si>
    <t>PC Off Hours Per Year</t>
  </si>
  <si>
    <t>Monitor On Hours Per Year</t>
  </si>
  <si>
    <t>Monitor Off Hours Per Year</t>
  </si>
  <si>
    <t>Project Variables</t>
  </si>
  <si>
    <t>NC</t>
  </si>
  <si>
    <t>=</t>
  </si>
  <si>
    <t>ET</t>
  </si>
  <si>
    <t>PSPCorp</t>
  </si>
  <si>
    <t>PSPEduc</t>
  </si>
  <si>
    <t>PCOHDNoPS</t>
  </si>
  <si>
    <t>PCOHDWithPS</t>
  </si>
  <si>
    <t>MOHDNoPS</t>
  </si>
  <si>
    <t>MOHDWithPS</t>
  </si>
  <si>
    <t>PCMPO</t>
  </si>
  <si>
    <t>BDY</t>
  </si>
  <si>
    <t>SDY</t>
  </si>
  <si>
    <t>PCCO</t>
  </si>
  <si>
    <t>PCCS</t>
  </si>
  <si>
    <t>MCO</t>
  </si>
  <si>
    <t>MCS</t>
  </si>
  <si>
    <t>PCOHY</t>
  </si>
  <si>
    <t>PCOHD * (BDY or SDY)</t>
  </si>
  <si>
    <t>PCNHY</t>
  </si>
  <si>
    <t>MOHY</t>
  </si>
  <si>
    <t>MOHD * (BDY or SDY)</t>
  </si>
  <si>
    <t>MNHY</t>
  </si>
  <si>
    <t>PCCY</t>
  </si>
  <si>
    <t>PCOHY * PCCO + PCNHY * PCCS</t>
  </si>
  <si>
    <t>PCCYMPO</t>
  </si>
  <si>
    <t>MCY</t>
  </si>
  <si>
    <t>TCY</t>
  </si>
  <si>
    <t>PCCY + MCY</t>
  </si>
  <si>
    <t>TCYMPO</t>
  </si>
  <si>
    <t>ECY</t>
  </si>
  <si>
    <t>TCY / 1000 * ET</t>
  </si>
  <si>
    <t>ECYMPO</t>
  </si>
  <si>
    <t>TCA</t>
  </si>
  <si>
    <t>ECY * NC * (100 - PCMPO) / 100 + ECYMPO * NC * PCMPO / 100</t>
  </si>
  <si>
    <t>PSC</t>
  </si>
  <si>
    <t>NC * PSP</t>
  </si>
  <si>
    <t>ROS</t>
  </si>
  <si>
    <t>(TCA[No PS] - TCA[With PS]) / 12</t>
  </si>
  <si>
    <t>TBE</t>
  </si>
  <si>
    <t>PSC / ROS</t>
  </si>
  <si>
    <t>ROI Calculator</t>
  </si>
  <si>
    <r>
      <t xml:space="preserve">8760 - PCOHY </t>
    </r>
    <r>
      <rPr>
        <b/>
        <vertAlign val="superscript"/>
        <sz val="10"/>
        <color indexed="10"/>
        <rFont val="Tahoma"/>
        <family val="2"/>
      </rPr>
      <t>1</t>
    </r>
  </si>
  <si>
    <r>
      <t xml:space="preserve">8760 - MOHY </t>
    </r>
    <r>
      <rPr>
        <b/>
        <vertAlign val="superscript"/>
        <sz val="10"/>
        <color indexed="10"/>
        <rFont val="Tahoma"/>
        <family val="2"/>
      </rPr>
      <t>1</t>
    </r>
  </si>
  <si>
    <r>
      <t xml:space="preserve">PCOHY * PCCO + PCNHY * PCCS </t>
    </r>
    <r>
      <rPr>
        <b/>
        <vertAlign val="superscript"/>
        <sz val="10"/>
        <color indexed="10"/>
        <rFont val="Tahoma"/>
        <family val="2"/>
      </rPr>
      <t>2</t>
    </r>
  </si>
  <si>
    <r>
      <t xml:space="preserve">MOHY * MCO + NHY * MCS </t>
    </r>
    <r>
      <rPr>
        <b/>
        <vertAlign val="superscript"/>
        <sz val="10"/>
        <color indexed="10"/>
        <rFont val="Tahoma"/>
        <family val="2"/>
      </rPr>
      <t>2</t>
    </r>
  </si>
  <si>
    <r>
      <t xml:space="preserve">PCCYMPO + MCY </t>
    </r>
    <r>
      <rPr>
        <b/>
        <vertAlign val="superscript"/>
        <sz val="10"/>
        <color indexed="10"/>
        <rFont val="Tahoma"/>
        <family val="2"/>
      </rPr>
      <t>2</t>
    </r>
  </si>
  <si>
    <r>
      <t xml:space="preserve">TCYMPO / 1000 * ET </t>
    </r>
    <r>
      <rPr>
        <b/>
        <vertAlign val="superscript"/>
        <sz val="10"/>
        <color indexed="10"/>
        <rFont val="Tahoma"/>
        <family val="2"/>
      </rPr>
      <t>2</t>
    </r>
  </si>
  <si>
    <t>Information</t>
  </si>
  <si>
    <t>Decision Maker</t>
  </si>
  <si>
    <t>Influencer</t>
  </si>
  <si>
    <t>Recommender</t>
  </si>
  <si>
    <t>Evaluator</t>
  </si>
  <si>
    <t>ROI &amp; Calculation</t>
  </si>
  <si>
    <t>PC Consumption Per Year for PCs Not Manually Powered Off</t>
  </si>
  <si>
    <t>PC Consumption Per Year for PCs Manually Powered Off</t>
  </si>
  <si>
    <t>Monitor Consumption Per Year (Regardless of Manual Power-Off)</t>
  </si>
  <si>
    <t>Total Consumption Per Year for PCs Not Manually Powered Off</t>
  </si>
  <si>
    <t>Total Consumption Per Year for PCs Manually Powered Off</t>
  </si>
  <si>
    <t>Total Energy Cost Per Year for PCs Not Manually Powered Off</t>
  </si>
  <si>
    <t>Total Energy Cost Per Year for PCs Manually Powered Off</t>
  </si>
  <si>
    <t xml:space="preserve"> </t>
  </si>
  <si>
    <t>Datos</t>
  </si>
  <si>
    <t>Información</t>
  </si>
  <si>
    <t>Nombre</t>
  </si>
  <si>
    <t>Empresa</t>
  </si>
  <si>
    <t>Título</t>
  </si>
  <si>
    <t>Teléfono</t>
  </si>
  <si>
    <t>Ciudad</t>
  </si>
  <si>
    <t>Provincia</t>
  </si>
  <si>
    <t>País</t>
  </si>
  <si>
    <t>Dentro de mi empresa hay una persona responsable del ahorro energético</t>
  </si>
  <si>
    <t>Número de ordenadores</t>
  </si>
  <si>
    <t>Coste de la energía</t>
  </si>
  <si>
    <t>Precio Power Save Price (Corporativo)</t>
  </si>
  <si>
    <t>Precio Power Save (Educación)</t>
  </si>
  <si>
    <t>Hs/día PC's encendidos sin PS</t>
  </si>
  <si>
    <t>Hs/día PC's encendidos con PS</t>
  </si>
  <si>
    <t>Hs/Día Monitores encendidos sin PS</t>
  </si>
  <si>
    <t>Hs/Día Monitores encendidos con PS</t>
  </si>
  <si>
    <t>% of PCs apagados manualmente</t>
  </si>
  <si>
    <t>Número de días laborables (empresas)</t>
  </si>
  <si>
    <t>Número días lectivos (centros escolares)</t>
  </si>
  <si>
    <t>Puesto en el proceso de compra de software:</t>
  </si>
  <si>
    <t>Comentarios:</t>
  </si>
  <si>
    <t>Correo Electrónico</t>
  </si>
  <si>
    <t>Consumo PC en modo encendido</t>
  </si>
  <si>
    <t>Consumo del monitor en modo de encendido</t>
  </si>
  <si>
    <t>ordenadores</t>
  </si>
  <si>
    <t>euros</t>
  </si>
  <si>
    <t>horas / día</t>
  </si>
  <si>
    <t>días</t>
  </si>
  <si>
    <t>Consumo del monitor en modo de espera</t>
  </si>
  <si>
    <t>Consumo PC en modo de espera</t>
  </si>
  <si>
    <t>Calculadora del ROI</t>
  </si>
  <si>
    <t>Parámetros ROI</t>
  </si>
  <si>
    <t>Coste Total Energía</t>
  </si>
  <si>
    <t>Coste Total PowerSave</t>
  </si>
  <si>
    <t>Ratio de Ahorro Mensual</t>
  </si>
  <si>
    <t>Meses para llegar al Punto de Equilibrio</t>
  </si>
  <si>
    <t>Educación</t>
  </si>
  <si>
    <t>Sin PS</t>
  </si>
  <si>
    <t>Con PS</t>
  </si>
  <si>
    <t>Equivalencias del Ahorro de Power Save en</t>
  </si>
  <si>
    <t xml:space="preserve"> el Ambiente</t>
  </si>
  <si>
    <t>CO2 no producido (kilos)</t>
  </si>
  <si>
    <t>No. coches fuera del parque vehicular</t>
  </si>
  <si>
    <t>CO2 no producido (tons)</t>
  </si>
  <si>
    <t>Contenedores de basura</t>
  </si>
  <si>
    <t>Valores</t>
  </si>
  <si>
    <r>
      <t>Agradecemos que cumplimenten este formulario y lo envíen por fax a: 
+34 934 153 818
o por correo electrónico a 
esfaronics@qualiteasy.com
para poder proporcionarle más información sobre Power Save</t>
    </r>
    <r>
      <rPr>
        <b/>
        <sz val="10"/>
        <color indexed="9"/>
        <rFont val="Tahoma"/>
        <family val="2"/>
      </rPr>
      <t xml:space="preserve">
El detalle de los cálculos, está en la siguiente hoja excel:  "Power Save ROI - Formulae".</t>
    </r>
  </si>
  <si>
    <t>Ha de árboles plantados</t>
  </si>
  <si>
    <t>Cálculos</t>
  </si>
  <si>
    <t>Fórmula</t>
  </si>
  <si>
    <t>PC en modo encendido/año (total horas)</t>
  </si>
  <si>
    <t>PC en modo apagado/ año (total horas)</t>
  </si>
  <si>
    <t>Monitor encendido por año (total horas)</t>
  </si>
  <si>
    <t>Monitor apagado por año (total horas)</t>
  </si>
  <si>
    <t>Consumo anual de energía de los PC´s  no apagados manualmente</t>
  </si>
  <si>
    <t>Consumo anual de energía de las PC´s  apagados manualmente</t>
  </si>
  <si>
    <t>Consumo anual de energía de los monitores</t>
  </si>
  <si>
    <t>Consumo total anual de PC´s no apagados manualmente</t>
  </si>
  <si>
    <t>Consumo total anual de PC´s apagados manualmente</t>
  </si>
  <si>
    <t xml:space="preserve">Coste Energético Total por año de PC's no apagados manualmente </t>
  </si>
  <si>
    <t xml:space="preserve">Coste Energético Total por año de PC's  apagados manualmente </t>
  </si>
  <si>
    <t>Coste Energético Total de todos los ordenadores</t>
  </si>
  <si>
    <t>Coste Total de Power Save</t>
  </si>
  <si>
    <r>
      <t>1</t>
    </r>
    <r>
      <rPr>
        <b/>
        <sz val="10"/>
        <color indexed="9"/>
        <rFont val="Tahoma"/>
        <family val="2"/>
      </rPr>
      <t xml:space="preserve"> 8760 = 365 * 24 = número total anual de horas </t>
    </r>
  </si>
  <si>
    <r>
      <t xml:space="preserve">2 </t>
    </r>
    <r>
      <rPr>
        <b/>
        <sz val="10"/>
        <color indexed="9"/>
        <rFont val="Tahoma"/>
        <family val="2"/>
      </rPr>
      <t>diferencia inapreciable entre el consumo de energía del PC en modo de espera y apagado (i.e. - "No PS" = "con PS" para cada verticall).</t>
    </r>
  </si>
  <si>
    <t xml:space="preserve">Equivalencias del Ahorro de Power Save en el </t>
  </si>
  <si>
    <t>Impacto Medioambiental</t>
  </si>
  <si>
    <t>horas/día</t>
  </si>
  <si>
    <t>Variables</t>
  </si>
  <si>
    <t>Coste energía</t>
  </si>
  <si>
    <t>Precio Power Save (Corporate)</t>
  </si>
  <si>
    <t>Mi empresa tiene                    estaciones de trabajo</t>
  </si>
  <si>
    <t>Mi empresa tiene                       estaciones de trabajo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</si>
</sst>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$&quot;#,##0.00"/>
    <numFmt numFmtId="182" formatCode="[&lt;=9999999]###\-####;\(###\)\ ###\-####"/>
    <numFmt numFmtId="183" formatCode="[$€-2]\ #,##0.00"/>
  </numFmts>
  <fonts count="55">
    <font>
      <sz val="10"/>
      <name val="Arial"/>
      <family val="0"/>
    </font>
    <font>
      <sz val="8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sz val="10"/>
      <name val="Tahoma"/>
      <family val="2"/>
    </font>
    <font>
      <b/>
      <sz val="1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vertAlign val="superscript"/>
      <sz val="10"/>
      <color indexed="10"/>
      <name val="Tahoma"/>
      <family val="2"/>
    </font>
    <font>
      <b/>
      <sz val="8"/>
      <name val="Tahoma"/>
      <family val="2"/>
    </font>
    <font>
      <b/>
      <sz val="12"/>
      <color indexed="9"/>
      <name val="Tahoma"/>
      <family val="2"/>
    </font>
    <font>
      <b/>
      <vertAlign val="superscript"/>
      <sz val="12"/>
      <color indexed="24"/>
      <name val="Tahoma"/>
      <family val="2"/>
    </font>
    <font>
      <sz val="10"/>
      <color indexed="24"/>
      <name val="Tahoma"/>
      <family val="2"/>
    </font>
    <font>
      <b/>
      <sz val="22"/>
      <color indexed="9"/>
      <name val="Tahoma"/>
      <family val="2"/>
    </font>
    <font>
      <b/>
      <sz val="24"/>
      <color indexed="9"/>
      <name val="Tahoma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b/>
      <vertAlign val="superscript"/>
      <sz val="12"/>
      <color indexed="9"/>
      <name val="Tahoma"/>
      <family val="2"/>
    </font>
    <font>
      <b/>
      <sz val="6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  <bgColor indexed="9"/>
      </patternFill>
    </fill>
    <fill>
      <patternFill patternType="gray125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>
        <color indexed="2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>
        <color indexed="9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medium">
        <color indexed="9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>
        <color indexed="9"/>
      </bottom>
    </border>
    <border>
      <left style="hair"/>
      <right>
        <color indexed="63"/>
      </right>
      <top style="hair"/>
      <bottom style="medium">
        <color indexed="9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>
        <color indexed="9"/>
      </bottom>
    </border>
    <border>
      <left>
        <color indexed="63"/>
      </left>
      <right style="thin"/>
      <top style="thin"/>
      <bottom style="medium">
        <color indexed="9"/>
      </bottom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hair"/>
      <bottom style="medium">
        <color indexed="9"/>
      </bottom>
    </border>
    <border>
      <left>
        <color indexed="63"/>
      </left>
      <right style="thin"/>
      <top style="hair"/>
      <bottom style="medium">
        <color indexed="9"/>
      </bottom>
    </border>
    <border>
      <left style="thin"/>
      <right>
        <color indexed="63"/>
      </right>
      <top style="medium"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9"/>
      </bottom>
    </border>
    <border>
      <left>
        <color indexed="63"/>
      </left>
      <right style="thin"/>
      <top style="medium">
        <color indexed="63"/>
      </top>
      <bottom style="medium">
        <color indexed="9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>
        <color indexed="63"/>
      </top>
      <bottom style="hair"/>
    </border>
    <border>
      <left>
        <color indexed="63"/>
      </left>
      <right>
        <color indexed="63"/>
      </right>
      <top style="medium">
        <color indexed="63"/>
      </top>
      <bottom style="hair"/>
    </border>
    <border>
      <left>
        <color indexed="63"/>
      </left>
      <right style="thin"/>
      <top style="medium"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181" fontId="4" fillId="35" borderId="12" xfId="0" applyNumberFormat="1" applyFont="1" applyFill="1" applyBorder="1" applyAlignment="1">
      <alignment horizontal="center" vertical="top"/>
    </xf>
    <xf numFmtId="181" fontId="4" fillId="35" borderId="13" xfId="0" applyNumberFormat="1" applyFont="1" applyFill="1" applyBorder="1" applyAlignment="1">
      <alignment horizontal="center" vertical="top"/>
    </xf>
    <xf numFmtId="0" fontId="4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180" fontId="4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8" fillId="36" borderId="19" xfId="0" applyFont="1" applyFill="1" applyBorder="1" applyAlignment="1">
      <alignment horizontal="right"/>
    </xf>
    <xf numFmtId="0" fontId="8" fillId="36" borderId="20" xfId="0" applyFont="1" applyFill="1" applyBorder="1" applyAlignment="1">
      <alignment horizontal="right"/>
    </xf>
    <xf numFmtId="0" fontId="8" fillId="36" borderId="21" xfId="0" applyFont="1" applyFill="1" applyBorder="1" applyAlignment="1">
      <alignment horizontal="right"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8" fillId="33" borderId="23" xfId="0" applyFont="1" applyFill="1" applyBorder="1" applyAlignment="1">
      <alignment horizontal="right"/>
    </xf>
    <xf numFmtId="0" fontId="7" fillId="33" borderId="23" xfId="0" applyFont="1" applyFill="1" applyBorder="1" applyAlignment="1">
      <alignment/>
    </xf>
    <xf numFmtId="180" fontId="4" fillId="33" borderId="17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6" borderId="24" xfId="0" applyFont="1" applyFill="1" applyBorder="1" applyAlignment="1" quotePrefix="1">
      <alignment horizontal="right" vertical="top"/>
    </xf>
    <xf numFmtId="0" fontId="4" fillId="36" borderId="25" xfId="0" applyFont="1" applyFill="1" applyBorder="1" applyAlignment="1" quotePrefix="1">
      <alignment horizontal="right" vertical="top"/>
    </xf>
    <xf numFmtId="0" fontId="4" fillId="36" borderId="26" xfId="0" applyFont="1" applyFill="1" applyBorder="1" applyAlignment="1" quotePrefix="1">
      <alignment horizontal="right" vertical="top"/>
    </xf>
    <xf numFmtId="0" fontId="8" fillId="35" borderId="27" xfId="0" applyFont="1" applyFill="1" applyBorder="1" applyAlignment="1">
      <alignment horizontal="right" vertical="top"/>
    </xf>
    <xf numFmtId="0" fontId="4" fillId="35" borderId="28" xfId="0" applyFont="1" applyFill="1" applyBorder="1" applyAlignment="1" quotePrefix="1">
      <alignment horizontal="right" vertical="top"/>
    </xf>
    <xf numFmtId="0" fontId="8" fillId="35" borderId="20" xfId="0" applyFont="1" applyFill="1" applyBorder="1" applyAlignment="1">
      <alignment horizontal="right" vertical="top"/>
    </xf>
    <xf numFmtId="0" fontId="4" fillId="35" borderId="25" xfId="0" applyFont="1" applyFill="1" applyBorder="1" applyAlignment="1" quotePrefix="1">
      <alignment horizontal="right" vertical="top"/>
    </xf>
    <xf numFmtId="0" fontId="8" fillId="35" borderId="29" xfId="0" applyFont="1" applyFill="1" applyBorder="1" applyAlignment="1">
      <alignment horizontal="right" vertical="top"/>
    </xf>
    <xf numFmtId="0" fontId="4" fillId="35" borderId="26" xfId="0" applyFont="1" applyFill="1" applyBorder="1" applyAlignment="1" quotePrefix="1">
      <alignment horizontal="right" vertical="top"/>
    </xf>
    <xf numFmtId="0" fontId="8" fillId="36" borderId="0" xfId="0" applyFont="1" applyFill="1" applyBorder="1" applyAlignment="1">
      <alignment horizontal="right" vertical="top"/>
    </xf>
    <xf numFmtId="0" fontId="4" fillId="36" borderId="28" xfId="0" applyFont="1" applyFill="1" applyBorder="1" applyAlignment="1" quotePrefix="1">
      <alignment horizontal="right" vertical="top"/>
    </xf>
    <xf numFmtId="0" fontId="8" fillId="36" borderId="20" xfId="0" applyFont="1" applyFill="1" applyBorder="1" applyAlignment="1">
      <alignment horizontal="right" vertical="top"/>
    </xf>
    <xf numFmtId="0" fontId="8" fillId="35" borderId="30" xfId="0" applyFont="1" applyFill="1" applyBorder="1" applyAlignment="1">
      <alignment horizontal="right" vertical="top"/>
    </xf>
    <xf numFmtId="0" fontId="4" fillId="35" borderId="31" xfId="0" applyFont="1" applyFill="1" applyBorder="1" applyAlignment="1" quotePrefix="1">
      <alignment horizontal="right" vertical="top"/>
    </xf>
    <xf numFmtId="0" fontId="11" fillId="34" borderId="27" xfId="0" applyFont="1" applyFill="1" applyBorder="1" applyAlignment="1">
      <alignment horizontal="right"/>
    </xf>
    <xf numFmtId="0" fontId="4" fillId="34" borderId="28" xfId="0" applyFont="1" applyFill="1" applyBorder="1" applyAlignment="1" quotePrefix="1">
      <alignment horizontal="right"/>
    </xf>
    <xf numFmtId="0" fontId="11" fillId="34" borderId="20" xfId="0" applyFont="1" applyFill="1" applyBorder="1" applyAlignment="1">
      <alignment horizontal="right"/>
    </xf>
    <xf numFmtId="0" fontId="4" fillId="34" borderId="25" xfId="0" applyFont="1" applyFill="1" applyBorder="1" applyAlignment="1" quotePrefix="1">
      <alignment horizontal="right"/>
    </xf>
    <xf numFmtId="0" fontId="11" fillId="34" borderId="21" xfId="0" applyFont="1" applyFill="1" applyBorder="1" applyAlignment="1">
      <alignment horizontal="right"/>
    </xf>
    <xf numFmtId="0" fontId="4" fillId="34" borderId="32" xfId="0" applyFont="1" applyFill="1" applyBorder="1" applyAlignment="1" quotePrefix="1">
      <alignment horizontal="right"/>
    </xf>
    <xf numFmtId="180" fontId="4" fillId="33" borderId="23" xfId="0" applyNumberFormat="1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6" borderId="34" xfId="0" applyFont="1" applyFill="1" applyBorder="1" applyAlignment="1">
      <alignment/>
    </xf>
    <xf numFmtId="0" fontId="6" fillId="36" borderId="35" xfId="0" applyFont="1" applyFill="1" applyBorder="1" applyAlignment="1">
      <alignment/>
    </xf>
    <xf numFmtId="181" fontId="4" fillId="35" borderId="31" xfId="0" applyNumberFormat="1" applyFont="1" applyFill="1" applyBorder="1" applyAlignment="1">
      <alignment horizontal="center" vertical="top"/>
    </xf>
    <xf numFmtId="0" fontId="4" fillId="36" borderId="0" xfId="0" applyFont="1" applyFill="1" applyBorder="1" applyAlignment="1">
      <alignment/>
    </xf>
    <xf numFmtId="0" fontId="8" fillId="36" borderId="36" xfId="0" applyFont="1" applyFill="1" applyBorder="1" applyAlignment="1">
      <alignment/>
    </xf>
    <xf numFmtId="0" fontId="8" fillId="36" borderId="37" xfId="0" applyFont="1" applyFill="1" applyBorder="1" applyAlignment="1">
      <alignment/>
    </xf>
    <xf numFmtId="0" fontId="8" fillId="36" borderId="38" xfId="0" applyFont="1" applyFill="1" applyBorder="1" applyAlignment="1">
      <alignment/>
    </xf>
    <xf numFmtId="0" fontId="6" fillId="36" borderId="39" xfId="0" applyFont="1" applyFill="1" applyBorder="1" applyAlignment="1">
      <alignment/>
    </xf>
    <xf numFmtId="0" fontId="7" fillId="34" borderId="40" xfId="0" applyFont="1" applyFill="1" applyBorder="1" applyAlignment="1">
      <alignment horizontal="left"/>
    </xf>
    <xf numFmtId="0" fontId="4" fillId="36" borderId="41" xfId="0" applyFont="1" applyFill="1" applyBorder="1" applyAlignment="1">
      <alignment/>
    </xf>
    <xf numFmtId="0" fontId="4" fillId="36" borderId="42" xfId="0" applyFont="1" applyFill="1" applyBorder="1" applyAlignment="1">
      <alignment/>
    </xf>
    <xf numFmtId="0" fontId="4" fillId="33" borderId="43" xfId="0" applyFont="1" applyFill="1" applyBorder="1" applyAlignment="1">
      <alignment/>
    </xf>
    <xf numFmtId="0" fontId="11" fillId="34" borderId="44" xfId="0" applyFont="1" applyFill="1" applyBorder="1" applyAlignment="1">
      <alignment/>
    </xf>
    <xf numFmtId="0" fontId="11" fillId="34" borderId="20" xfId="0" applyFont="1" applyFill="1" applyBorder="1" applyAlignment="1">
      <alignment/>
    </xf>
    <xf numFmtId="0" fontId="11" fillId="34" borderId="2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4" fillId="36" borderId="43" xfId="0" applyFont="1" applyFill="1" applyBorder="1" applyAlignment="1">
      <alignment vertical="top" wrapText="1"/>
    </xf>
    <xf numFmtId="0" fontId="4" fillId="36" borderId="35" xfId="0" applyFont="1" applyFill="1" applyBorder="1" applyAlignment="1">
      <alignment vertical="top" wrapText="1"/>
    </xf>
    <xf numFmtId="0" fontId="4" fillId="35" borderId="35" xfId="0" applyFont="1" applyFill="1" applyBorder="1" applyAlignment="1">
      <alignment vertical="top" wrapText="1"/>
    </xf>
    <xf numFmtId="0" fontId="11" fillId="34" borderId="45" xfId="0" applyFont="1" applyFill="1" applyBorder="1" applyAlignment="1">
      <alignment/>
    </xf>
    <xf numFmtId="0" fontId="11" fillId="34" borderId="46" xfId="0" applyFont="1" applyFill="1" applyBorder="1" applyAlignment="1">
      <alignment/>
    </xf>
    <xf numFmtId="181" fontId="4" fillId="35" borderId="47" xfId="0" applyNumberFormat="1" applyFont="1" applyFill="1" applyBorder="1" applyAlignment="1">
      <alignment horizontal="center" vertical="top"/>
    </xf>
    <xf numFmtId="0" fontId="8" fillId="36" borderId="27" xfId="0" applyFont="1" applyFill="1" applyBorder="1" applyAlignment="1">
      <alignment horizontal="right" vertical="top"/>
    </xf>
    <xf numFmtId="0" fontId="8" fillId="36" borderId="29" xfId="0" applyFont="1" applyFill="1" applyBorder="1" applyAlignment="1">
      <alignment horizontal="right" vertical="top"/>
    </xf>
    <xf numFmtId="3" fontId="4" fillId="36" borderId="47" xfId="0" applyNumberFormat="1" applyFont="1" applyFill="1" applyBorder="1" applyAlignment="1">
      <alignment horizontal="center" vertical="top"/>
    </xf>
    <xf numFmtId="3" fontId="7" fillId="36" borderId="24" xfId="0" applyNumberFormat="1" applyFont="1" applyFill="1" applyBorder="1" applyAlignment="1">
      <alignment/>
    </xf>
    <xf numFmtId="0" fontId="7" fillId="36" borderId="25" xfId="0" applyNumberFormat="1" applyFont="1" applyFill="1" applyBorder="1" applyAlignment="1">
      <alignment/>
    </xf>
    <xf numFmtId="0" fontId="7" fillId="36" borderId="25" xfId="0" applyFont="1" applyFill="1" applyBorder="1" applyAlignment="1">
      <alignment/>
    </xf>
    <xf numFmtId="3" fontId="7" fillId="36" borderId="48" xfId="0" applyNumberFormat="1" applyFont="1" applyFill="1" applyBorder="1" applyAlignment="1">
      <alignment/>
    </xf>
    <xf numFmtId="0" fontId="7" fillId="36" borderId="49" xfId="0" applyNumberFormat="1" applyFont="1" applyFill="1" applyBorder="1" applyAlignment="1">
      <alignment/>
    </xf>
    <xf numFmtId="0" fontId="7" fillId="36" borderId="49" xfId="0" applyFont="1" applyFill="1" applyBorder="1" applyAlignment="1">
      <alignment/>
    </xf>
    <xf numFmtId="0" fontId="7" fillId="36" borderId="50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0" fontId="8" fillId="33" borderId="43" xfId="0" applyFont="1" applyFill="1" applyBorder="1" applyAlignment="1">
      <alignment/>
    </xf>
    <xf numFmtId="0" fontId="11" fillId="34" borderId="51" xfId="0" applyFont="1" applyFill="1" applyBorder="1" applyAlignment="1">
      <alignment/>
    </xf>
    <xf numFmtId="0" fontId="4" fillId="36" borderId="52" xfId="0" applyFont="1" applyFill="1" applyBorder="1" applyAlignment="1">
      <alignment vertical="top"/>
    </xf>
    <xf numFmtId="0" fontId="4" fillId="36" borderId="35" xfId="0" applyFont="1" applyFill="1" applyBorder="1" applyAlignment="1">
      <alignment vertical="top"/>
    </xf>
    <xf numFmtId="0" fontId="4" fillId="36" borderId="53" xfId="0" applyFont="1" applyFill="1" applyBorder="1" applyAlignment="1">
      <alignment vertical="top"/>
    </xf>
    <xf numFmtId="0" fontId="4" fillId="36" borderId="54" xfId="0" applyFont="1" applyFill="1" applyBorder="1" applyAlignment="1">
      <alignment vertical="top"/>
    </xf>
    <xf numFmtId="0" fontId="4" fillId="35" borderId="53" xfId="0" applyFont="1" applyFill="1" applyBorder="1" applyAlignment="1">
      <alignment vertical="top" wrapText="1"/>
    </xf>
    <xf numFmtId="0" fontId="4" fillId="35" borderId="54" xfId="0" applyFont="1" applyFill="1" applyBorder="1" applyAlignment="1">
      <alignment vertical="top" wrapText="1"/>
    </xf>
    <xf numFmtId="3" fontId="4" fillId="36" borderId="55" xfId="0" applyNumberFormat="1" applyFont="1" applyFill="1" applyBorder="1" applyAlignment="1">
      <alignment horizontal="center" vertical="top"/>
    </xf>
    <xf numFmtId="3" fontId="4" fillId="36" borderId="56" xfId="0" applyNumberFormat="1" applyFont="1" applyFill="1" applyBorder="1" applyAlignment="1">
      <alignment horizontal="center" vertical="top"/>
    </xf>
    <xf numFmtId="3" fontId="4" fillId="36" borderId="49" xfId="0" applyNumberFormat="1" applyFont="1" applyFill="1" applyBorder="1" applyAlignment="1">
      <alignment horizontal="center" vertical="top"/>
    </xf>
    <xf numFmtId="3" fontId="4" fillId="36" borderId="57" xfId="0" applyNumberFormat="1" applyFont="1" applyFill="1" applyBorder="1" applyAlignment="1">
      <alignment horizontal="center" vertical="top"/>
    </xf>
    <xf numFmtId="3" fontId="4" fillId="36" borderId="58" xfId="0" applyNumberFormat="1" applyFont="1" applyFill="1" applyBorder="1" applyAlignment="1">
      <alignment horizontal="center" vertical="top"/>
    </xf>
    <xf numFmtId="3" fontId="4" fillId="35" borderId="55" xfId="0" applyNumberFormat="1" applyFont="1" applyFill="1" applyBorder="1" applyAlignment="1">
      <alignment horizontal="center" vertical="top"/>
    </xf>
    <xf numFmtId="3" fontId="4" fillId="35" borderId="56" xfId="0" applyNumberFormat="1" applyFont="1" applyFill="1" applyBorder="1" applyAlignment="1">
      <alignment horizontal="center" vertical="top"/>
    </xf>
    <xf numFmtId="3" fontId="4" fillId="36" borderId="59" xfId="0" applyNumberFormat="1" applyFont="1" applyFill="1" applyBorder="1" applyAlignment="1">
      <alignment horizontal="center" vertical="top"/>
    </xf>
    <xf numFmtId="3" fontId="4" fillId="36" borderId="60" xfId="0" applyNumberFormat="1" applyFont="1" applyFill="1" applyBorder="1" applyAlignment="1">
      <alignment horizontal="center" vertical="top"/>
    </xf>
    <xf numFmtId="3" fontId="4" fillId="36" borderId="61" xfId="0" applyNumberFormat="1" applyFont="1" applyFill="1" applyBorder="1" applyAlignment="1">
      <alignment horizontal="center" vertical="top"/>
    </xf>
    <xf numFmtId="181" fontId="4" fillId="35" borderId="49" xfId="0" applyNumberFormat="1" applyFont="1" applyFill="1" applyBorder="1" applyAlignment="1">
      <alignment horizontal="center" vertical="top"/>
    </xf>
    <xf numFmtId="0" fontId="7" fillId="34" borderId="62" xfId="0" applyFont="1" applyFill="1" applyBorder="1" applyAlignment="1">
      <alignment horizontal="left"/>
    </xf>
    <xf numFmtId="0" fontId="7" fillId="36" borderId="32" xfId="0" applyFont="1" applyFill="1" applyBorder="1" applyAlignment="1">
      <alignment/>
    </xf>
    <xf numFmtId="0" fontId="4" fillId="36" borderId="63" xfId="0" applyFont="1" applyFill="1" applyBorder="1" applyAlignment="1" quotePrefix="1">
      <alignment horizontal="right"/>
    </xf>
    <xf numFmtId="0" fontId="4" fillId="36" borderId="64" xfId="0" applyFont="1" applyFill="1" applyBorder="1" applyAlignment="1" quotePrefix="1">
      <alignment horizontal="right"/>
    </xf>
    <xf numFmtId="0" fontId="4" fillId="36" borderId="65" xfId="0" applyFont="1" applyFill="1" applyBorder="1" applyAlignment="1" quotePrefix="1">
      <alignment horizontal="right"/>
    </xf>
    <xf numFmtId="0" fontId="6" fillId="36" borderId="54" xfId="0" applyFont="1" applyFill="1" applyBorder="1" applyAlignment="1">
      <alignment/>
    </xf>
    <xf numFmtId="0" fontId="4" fillId="33" borderId="43" xfId="0" applyFont="1" applyFill="1" applyBorder="1" applyAlignment="1">
      <alignment vertical="center"/>
    </xf>
    <xf numFmtId="0" fontId="8" fillId="36" borderId="20" xfId="0" applyFont="1" applyFill="1" applyBorder="1" applyAlignment="1">
      <alignment horizontal="right" vertical="center"/>
    </xf>
    <xf numFmtId="0" fontId="4" fillId="36" borderId="64" xfId="0" applyFont="1" applyFill="1" applyBorder="1" applyAlignment="1" quotePrefix="1">
      <alignment horizontal="right" vertical="center"/>
    </xf>
    <xf numFmtId="0" fontId="7" fillId="36" borderId="25" xfId="0" applyFont="1" applyFill="1" applyBorder="1" applyAlignment="1">
      <alignment vertical="center"/>
    </xf>
    <xf numFmtId="0" fontId="8" fillId="36" borderId="37" xfId="0" applyFont="1" applyFill="1" applyBorder="1" applyAlignment="1">
      <alignment vertical="center"/>
    </xf>
    <xf numFmtId="0" fontId="8" fillId="33" borderId="66" xfId="0" applyFont="1" applyFill="1" applyBorder="1" applyAlignment="1">
      <alignment horizontal="right"/>
    </xf>
    <xf numFmtId="0" fontId="8" fillId="33" borderId="23" xfId="0" applyFont="1" applyFill="1" applyBorder="1" applyAlignment="1">
      <alignment/>
    </xf>
    <xf numFmtId="180" fontId="4" fillId="33" borderId="14" xfId="0" applyNumberFormat="1" applyFont="1" applyFill="1" applyBorder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/>
    </xf>
    <xf numFmtId="180" fontId="4" fillId="33" borderId="15" xfId="0" applyNumberFormat="1" applyFont="1" applyFill="1" applyBorder="1" applyAlignment="1">
      <alignment/>
    </xf>
    <xf numFmtId="0" fontId="12" fillId="33" borderId="17" xfId="0" applyFont="1" applyFill="1" applyBorder="1" applyAlignment="1">
      <alignment vertical="center"/>
    </xf>
    <xf numFmtId="0" fontId="4" fillId="36" borderId="42" xfId="0" applyFont="1" applyFill="1" applyBorder="1" applyAlignment="1">
      <alignment vertical="top"/>
    </xf>
    <xf numFmtId="0" fontId="4" fillId="36" borderId="47" xfId="0" applyFont="1" applyFill="1" applyBorder="1" applyAlignment="1">
      <alignment vertical="top"/>
    </xf>
    <xf numFmtId="0" fontId="4" fillId="36" borderId="67" xfId="0" applyFont="1" applyFill="1" applyBorder="1" applyAlignment="1">
      <alignment vertical="top"/>
    </xf>
    <xf numFmtId="0" fontId="4" fillId="36" borderId="56" xfId="0" applyFont="1" applyFill="1" applyBorder="1" applyAlignment="1">
      <alignment vertical="top"/>
    </xf>
    <xf numFmtId="0" fontId="4" fillId="36" borderId="68" xfId="0" applyFont="1" applyFill="1" applyBorder="1" applyAlignment="1">
      <alignment vertical="top"/>
    </xf>
    <xf numFmtId="0" fontId="4" fillId="36" borderId="69" xfId="0" applyFont="1" applyFill="1" applyBorder="1" applyAlignment="1">
      <alignment vertical="top"/>
    </xf>
    <xf numFmtId="0" fontId="12" fillId="33" borderId="66" xfId="0" applyFont="1" applyFill="1" applyBorder="1" applyAlignment="1">
      <alignment vertical="center"/>
    </xf>
    <xf numFmtId="0" fontId="20" fillId="36" borderId="35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35" borderId="70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horizontal="right"/>
    </xf>
    <xf numFmtId="0" fontId="17" fillId="34" borderId="27" xfId="0" applyFont="1" applyFill="1" applyBorder="1" applyAlignment="1">
      <alignment horizontal="right"/>
    </xf>
    <xf numFmtId="183" fontId="4" fillId="35" borderId="12" xfId="0" applyNumberFormat="1" applyFont="1" applyFill="1" applyBorder="1" applyAlignment="1">
      <alignment horizontal="center" vertical="top"/>
    </xf>
    <xf numFmtId="183" fontId="4" fillId="35" borderId="31" xfId="0" applyNumberFormat="1" applyFont="1" applyFill="1" applyBorder="1" applyAlignment="1">
      <alignment horizontal="center" vertical="top"/>
    </xf>
    <xf numFmtId="183" fontId="4" fillId="35" borderId="13" xfId="0" applyNumberFormat="1" applyFont="1" applyFill="1" applyBorder="1" applyAlignment="1">
      <alignment horizontal="center" vertical="top"/>
    </xf>
    <xf numFmtId="183" fontId="7" fillId="36" borderId="49" xfId="0" applyNumberFormat="1" applyFont="1" applyFill="1" applyBorder="1" applyAlignment="1">
      <alignment/>
    </xf>
    <xf numFmtId="183" fontId="7" fillId="36" borderId="25" xfId="0" applyNumberFormat="1" applyFont="1" applyFill="1" applyBorder="1" applyAlignment="1">
      <alignment/>
    </xf>
    <xf numFmtId="0" fontId="12" fillId="33" borderId="17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0" xfId="0" applyAlignment="1">
      <alignment/>
    </xf>
    <xf numFmtId="3" fontId="4" fillId="36" borderId="42" xfId="0" applyNumberFormat="1" applyFont="1" applyFill="1" applyBorder="1" applyAlignment="1">
      <alignment horizontal="center" vertical="top"/>
    </xf>
    <xf numFmtId="3" fontId="4" fillId="36" borderId="47" xfId="0" applyNumberFormat="1" applyFont="1" applyFill="1" applyBorder="1" applyAlignment="1">
      <alignment horizontal="center" vertical="top"/>
    </xf>
    <xf numFmtId="181" fontId="4" fillId="35" borderId="42" xfId="0" applyNumberFormat="1" applyFont="1" applyFill="1" applyBorder="1" applyAlignment="1">
      <alignment horizontal="center" vertical="top"/>
    </xf>
    <xf numFmtId="181" fontId="4" fillId="35" borderId="47" xfId="0" applyNumberFormat="1" applyFont="1" applyFill="1" applyBorder="1" applyAlignment="1">
      <alignment horizontal="center" vertical="top"/>
    </xf>
    <xf numFmtId="2" fontId="4" fillId="37" borderId="71" xfId="0" applyNumberFormat="1" applyFont="1" applyFill="1" applyBorder="1" applyAlignment="1">
      <alignment horizontal="center"/>
    </xf>
    <xf numFmtId="2" fontId="4" fillId="37" borderId="72" xfId="0" applyNumberFormat="1" applyFont="1" applyFill="1" applyBorder="1" applyAlignment="1">
      <alignment horizontal="center"/>
    </xf>
    <xf numFmtId="2" fontId="4" fillId="37" borderId="40" xfId="0" applyNumberFormat="1" applyFont="1" applyFill="1" applyBorder="1" applyAlignment="1">
      <alignment horizontal="center"/>
    </xf>
    <xf numFmtId="2" fontId="4" fillId="37" borderId="73" xfId="0" applyNumberFormat="1" applyFont="1" applyFill="1" applyBorder="1" applyAlignment="1">
      <alignment horizontal="center"/>
    </xf>
    <xf numFmtId="4" fontId="4" fillId="37" borderId="74" xfId="0" applyNumberFormat="1" applyFont="1" applyFill="1" applyBorder="1" applyAlignment="1">
      <alignment horizontal="center"/>
    </xf>
    <xf numFmtId="4" fontId="4" fillId="37" borderId="11" xfId="0" applyNumberFormat="1" applyFont="1" applyFill="1" applyBorder="1" applyAlignment="1">
      <alignment horizontal="center"/>
    </xf>
    <xf numFmtId="2" fontId="4" fillId="37" borderId="74" xfId="0" applyNumberFormat="1" applyFont="1" applyFill="1" applyBorder="1" applyAlignment="1">
      <alignment horizontal="center"/>
    </xf>
    <xf numFmtId="2" fontId="4" fillId="37" borderId="11" xfId="0" applyNumberFormat="1" applyFont="1" applyFill="1" applyBorder="1" applyAlignment="1">
      <alignment horizontal="center"/>
    </xf>
    <xf numFmtId="183" fontId="7" fillId="34" borderId="75" xfId="0" applyNumberFormat="1" applyFont="1" applyFill="1" applyBorder="1" applyAlignment="1">
      <alignment horizontal="center"/>
    </xf>
    <xf numFmtId="183" fontId="7" fillId="34" borderId="76" xfId="0" applyNumberFormat="1" applyFont="1" applyFill="1" applyBorder="1" applyAlignment="1">
      <alignment horizontal="center"/>
    </xf>
    <xf numFmtId="2" fontId="6" fillId="37" borderId="74" xfId="0" applyNumberFormat="1" applyFont="1" applyFill="1" applyBorder="1" applyAlignment="1">
      <alignment horizontal="right"/>
    </xf>
    <xf numFmtId="2" fontId="6" fillId="37" borderId="11" xfId="0" applyNumberFormat="1" applyFont="1" applyFill="1" applyBorder="1" applyAlignment="1">
      <alignment horizontal="right"/>
    </xf>
    <xf numFmtId="2" fontId="6" fillId="37" borderId="71" xfId="0" applyNumberFormat="1" applyFont="1" applyFill="1" applyBorder="1" applyAlignment="1">
      <alignment horizontal="right"/>
    </xf>
    <xf numFmtId="2" fontId="6" fillId="37" borderId="72" xfId="0" applyNumberFormat="1" applyFont="1" applyFill="1" applyBorder="1" applyAlignment="1">
      <alignment horizontal="right"/>
    </xf>
    <xf numFmtId="2" fontId="6" fillId="37" borderId="40" xfId="0" applyNumberFormat="1" applyFont="1" applyFill="1" applyBorder="1" applyAlignment="1">
      <alignment horizontal="right"/>
    </xf>
    <xf numFmtId="2" fontId="6" fillId="37" borderId="73" xfId="0" applyNumberFormat="1" applyFont="1" applyFill="1" applyBorder="1" applyAlignment="1">
      <alignment horizontal="right"/>
    </xf>
    <xf numFmtId="2" fontId="11" fillId="37" borderId="74" xfId="0" applyNumberFormat="1" applyFont="1" applyFill="1" applyBorder="1" applyAlignment="1">
      <alignment horizontal="right" wrapText="1"/>
    </xf>
    <xf numFmtId="2" fontId="11" fillId="37" borderId="11" xfId="0" applyNumberFormat="1" applyFont="1" applyFill="1" applyBorder="1" applyAlignment="1">
      <alignment horizontal="right" wrapText="1"/>
    </xf>
    <xf numFmtId="0" fontId="7" fillId="34" borderId="77" xfId="0" applyFont="1" applyFill="1" applyBorder="1" applyAlignment="1">
      <alignment horizontal="center"/>
    </xf>
    <xf numFmtId="0" fontId="7" fillId="34" borderId="78" xfId="0" applyFont="1" applyFill="1" applyBorder="1" applyAlignment="1">
      <alignment horizontal="center"/>
    </xf>
    <xf numFmtId="0" fontId="17" fillId="34" borderId="42" xfId="0" applyFont="1" applyFill="1" applyBorder="1" applyAlignment="1">
      <alignment horizontal="right"/>
    </xf>
    <xf numFmtId="0" fontId="17" fillId="34" borderId="47" xfId="0" applyFont="1" applyFill="1" applyBorder="1" applyAlignment="1">
      <alignment horizontal="right"/>
    </xf>
    <xf numFmtId="0" fontId="17" fillId="34" borderId="79" xfId="0" applyFont="1" applyFill="1" applyBorder="1" applyAlignment="1">
      <alignment horizontal="right" wrapText="1"/>
    </xf>
    <xf numFmtId="0" fontId="17" fillId="34" borderId="80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 horizontal="right" vertical="center"/>
    </xf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Fill="1" applyBorder="1" applyAlignment="1">
      <alignment horizontal="left"/>
    </xf>
    <xf numFmtId="183" fontId="7" fillId="34" borderId="42" xfId="0" applyNumberFormat="1" applyFont="1" applyFill="1" applyBorder="1" applyAlignment="1">
      <alignment horizontal="center"/>
    </xf>
    <xf numFmtId="183" fontId="7" fillId="34" borderId="47" xfId="0" applyNumberFormat="1" applyFont="1" applyFill="1" applyBorder="1" applyAlignment="1">
      <alignment horizontal="center"/>
    </xf>
    <xf numFmtId="4" fontId="7" fillId="34" borderId="79" xfId="0" applyNumberFormat="1" applyFont="1" applyFill="1" applyBorder="1" applyAlignment="1">
      <alignment horizontal="center"/>
    </xf>
    <xf numFmtId="4" fontId="7" fillId="34" borderId="80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 indent="2"/>
    </xf>
    <xf numFmtId="0" fontId="18" fillId="0" borderId="0" xfId="0" applyFont="1" applyAlignment="1">
      <alignment horizontal="left" vertical="center" indent="2"/>
    </xf>
    <xf numFmtId="0" fontId="16" fillId="37" borderId="81" xfId="0" applyFont="1" applyFill="1" applyBorder="1" applyAlignment="1">
      <alignment horizontal="center" vertical="center"/>
    </xf>
    <xf numFmtId="0" fontId="16" fillId="37" borderId="82" xfId="0" applyFont="1" applyFill="1" applyBorder="1" applyAlignment="1">
      <alignment horizontal="center" vertical="center"/>
    </xf>
    <xf numFmtId="0" fontId="16" fillId="37" borderId="8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3" fontId="4" fillId="35" borderId="42" xfId="0" applyNumberFormat="1" applyFont="1" applyFill="1" applyBorder="1" applyAlignment="1">
      <alignment horizontal="center" vertical="top"/>
    </xf>
    <xf numFmtId="3" fontId="4" fillId="35" borderId="47" xfId="0" applyNumberFormat="1" applyFont="1" applyFill="1" applyBorder="1" applyAlignment="1">
      <alignment horizontal="center" vertical="top"/>
    </xf>
    <xf numFmtId="3" fontId="4" fillId="35" borderId="84" xfId="0" applyNumberFormat="1" applyFont="1" applyFill="1" applyBorder="1" applyAlignment="1">
      <alignment horizontal="center" vertical="top"/>
    </xf>
    <xf numFmtId="3" fontId="4" fillId="35" borderId="58" xfId="0" applyNumberFormat="1" applyFont="1" applyFill="1" applyBorder="1" applyAlignment="1">
      <alignment horizontal="center" vertical="top"/>
    </xf>
    <xf numFmtId="0" fontId="7" fillId="38" borderId="40" xfId="0" applyFont="1" applyFill="1" applyBorder="1" applyAlignment="1">
      <alignment horizontal="center" vertical="center"/>
    </xf>
    <xf numFmtId="0" fontId="7" fillId="38" borderId="73" xfId="0" applyFont="1" applyFill="1" applyBorder="1" applyAlignment="1">
      <alignment horizontal="center" vertical="center"/>
    </xf>
    <xf numFmtId="0" fontId="12" fillId="33" borderId="66" xfId="0" applyFont="1" applyFill="1" applyBorder="1" applyAlignment="1">
      <alignment horizontal="left" vertical="center"/>
    </xf>
    <xf numFmtId="0" fontId="4" fillId="36" borderId="42" xfId="0" applyFont="1" applyFill="1" applyBorder="1" applyAlignment="1">
      <alignment horizontal="left"/>
    </xf>
    <xf numFmtId="0" fontId="4" fillId="36" borderId="20" xfId="0" applyFont="1" applyFill="1" applyBorder="1" applyAlignment="1">
      <alignment horizontal="left"/>
    </xf>
    <xf numFmtId="0" fontId="4" fillId="36" borderId="47" xfId="0" applyFont="1" applyFill="1" applyBorder="1" applyAlignment="1">
      <alignment horizontal="left"/>
    </xf>
    <xf numFmtId="0" fontId="4" fillId="36" borderId="85" xfId="0" applyFont="1" applyFill="1" applyBorder="1" applyAlignment="1">
      <alignment horizontal="left"/>
    </xf>
    <xf numFmtId="0" fontId="4" fillId="36" borderId="86" xfId="0" applyFont="1" applyFill="1" applyBorder="1" applyAlignment="1">
      <alignment horizontal="left"/>
    </xf>
    <xf numFmtId="0" fontId="4" fillId="36" borderId="87" xfId="0" applyFont="1" applyFill="1" applyBorder="1" applyAlignment="1">
      <alignment horizontal="left"/>
    </xf>
    <xf numFmtId="0" fontId="6" fillId="36" borderId="39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6" fillId="36" borderId="34" xfId="0" applyFont="1" applyFill="1" applyBorder="1" applyAlignment="1">
      <alignment horizontal="left" vertical="center" wrapText="1"/>
    </xf>
    <xf numFmtId="0" fontId="9" fillId="36" borderId="88" xfId="0" applyFont="1" applyFill="1" applyBorder="1" applyAlignment="1">
      <alignment horizontal="left" vertical="center" wrapText="1"/>
    </xf>
    <xf numFmtId="0" fontId="9" fillId="36" borderId="89" xfId="0" applyFont="1" applyFill="1" applyBorder="1" applyAlignment="1">
      <alignment horizontal="left" vertical="center" wrapText="1"/>
    </xf>
    <xf numFmtId="0" fontId="9" fillId="36" borderId="90" xfId="0" applyFont="1" applyFill="1" applyBorder="1" applyAlignment="1">
      <alignment horizontal="left" vertical="center" wrapText="1"/>
    </xf>
    <xf numFmtId="0" fontId="7" fillId="34" borderId="40" xfId="0" applyFont="1" applyFill="1" applyBorder="1" applyAlignment="1">
      <alignment horizontal="center"/>
    </xf>
    <xf numFmtId="0" fontId="7" fillId="34" borderId="73" xfId="0" applyFont="1" applyFill="1" applyBorder="1" applyAlignment="1">
      <alignment horizontal="center"/>
    </xf>
    <xf numFmtId="182" fontId="4" fillId="36" borderId="42" xfId="0" applyNumberFormat="1" applyFont="1" applyFill="1" applyBorder="1" applyAlignment="1">
      <alignment horizontal="left"/>
    </xf>
    <xf numFmtId="182" fontId="4" fillId="36" borderId="20" xfId="0" applyNumberFormat="1" applyFont="1" applyFill="1" applyBorder="1" applyAlignment="1">
      <alignment horizontal="left"/>
    </xf>
    <xf numFmtId="182" fontId="4" fillId="36" borderId="47" xfId="0" applyNumberFormat="1" applyFont="1" applyFill="1" applyBorder="1" applyAlignment="1">
      <alignment horizontal="left"/>
    </xf>
    <xf numFmtId="0" fontId="4" fillId="36" borderId="39" xfId="0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  <xf numFmtId="0" fontId="4" fillId="36" borderId="34" xfId="0" applyFont="1" applyFill="1" applyBorder="1" applyAlignment="1">
      <alignment horizontal="left" vertical="top" wrapText="1"/>
    </xf>
    <xf numFmtId="0" fontId="4" fillId="36" borderId="91" xfId="0" applyFont="1" applyFill="1" applyBorder="1" applyAlignment="1">
      <alignment horizontal="left" vertical="top" wrapText="1"/>
    </xf>
    <xf numFmtId="0" fontId="4" fillId="36" borderId="92" xfId="0" applyFont="1" applyFill="1" applyBorder="1" applyAlignment="1">
      <alignment horizontal="left" vertical="top" wrapText="1"/>
    </xf>
    <xf numFmtId="0" fontId="4" fillId="36" borderId="93" xfId="0" applyFont="1" applyFill="1" applyBorder="1" applyAlignment="1">
      <alignment horizontal="left" vertical="top" wrapText="1"/>
    </xf>
    <xf numFmtId="0" fontId="4" fillId="36" borderId="84" xfId="0" applyFont="1" applyFill="1" applyBorder="1" applyAlignment="1">
      <alignment horizontal="left"/>
    </xf>
    <xf numFmtId="0" fontId="4" fillId="36" borderId="29" xfId="0" applyFont="1" applyFill="1" applyBorder="1" applyAlignment="1">
      <alignment horizontal="left"/>
    </xf>
    <xf numFmtId="0" fontId="4" fillId="36" borderId="58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center"/>
    </xf>
    <xf numFmtId="0" fontId="17" fillId="34" borderId="67" xfId="0" applyFont="1" applyFill="1" applyBorder="1" applyAlignment="1">
      <alignment horizontal="right"/>
    </xf>
    <xf numFmtId="0" fontId="17" fillId="34" borderId="56" xfId="0" applyFont="1" applyFill="1" applyBorder="1" applyAlignment="1">
      <alignment horizontal="right"/>
    </xf>
    <xf numFmtId="0" fontId="6" fillId="36" borderId="39" xfId="0" applyFont="1" applyFill="1" applyBorder="1" applyAlignment="1">
      <alignment horizontal="left" vertical="center" wrapText="1" indent="2"/>
    </xf>
    <xf numFmtId="0" fontId="6" fillId="36" borderId="0" xfId="0" applyFont="1" applyFill="1" applyBorder="1" applyAlignment="1">
      <alignment horizontal="left" vertical="center" wrapText="1" indent="2"/>
    </xf>
    <xf numFmtId="0" fontId="6" fillId="36" borderId="34" xfId="0" applyFont="1" applyFill="1" applyBorder="1" applyAlignment="1">
      <alignment horizontal="left" vertical="center" wrapText="1" indent="2"/>
    </xf>
    <xf numFmtId="0" fontId="6" fillId="36" borderId="88" xfId="0" applyFont="1" applyFill="1" applyBorder="1" applyAlignment="1">
      <alignment horizontal="left" vertical="center" wrapText="1" indent="2"/>
    </xf>
    <xf numFmtId="0" fontId="6" fillId="36" borderId="89" xfId="0" applyFont="1" applyFill="1" applyBorder="1" applyAlignment="1">
      <alignment horizontal="left" vertical="center" wrapText="1" indent="2"/>
    </xf>
    <xf numFmtId="0" fontId="6" fillId="36" borderId="90" xfId="0" applyFont="1" applyFill="1" applyBorder="1" applyAlignment="1">
      <alignment horizontal="left" vertical="center" wrapText="1" indent="2"/>
    </xf>
    <xf numFmtId="0" fontId="6" fillId="36" borderId="88" xfId="0" applyFont="1" applyFill="1" applyBorder="1" applyAlignment="1">
      <alignment horizontal="left" vertical="center"/>
    </xf>
    <xf numFmtId="0" fontId="6" fillId="36" borderId="89" xfId="0" applyFont="1" applyFill="1" applyBorder="1" applyAlignment="1">
      <alignment horizontal="left" vertical="center"/>
    </xf>
    <xf numFmtId="0" fontId="6" fillId="36" borderId="90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5" fillId="37" borderId="81" xfId="0" applyFont="1" applyFill="1" applyBorder="1" applyAlignment="1">
      <alignment horizontal="center" vertical="center"/>
    </xf>
    <xf numFmtId="0" fontId="15" fillId="37" borderId="82" xfId="0" applyFont="1" applyFill="1" applyBorder="1" applyAlignment="1">
      <alignment horizontal="center" vertical="center"/>
    </xf>
    <xf numFmtId="0" fontId="15" fillId="37" borderId="83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6" fillId="37" borderId="40" xfId="0" applyFont="1" applyFill="1" applyBorder="1" applyAlignment="1">
      <alignment horizontal="right"/>
    </xf>
    <xf numFmtId="0" fontId="6" fillId="37" borderId="94" xfId="0" applyFont="1" applyFill="1" applyBorder="1" applyAlignment="1">
      <alignment horizontal="right"/>
    </xf>
    <xf numFmtId="0" fontId="6" fillId="37" borderId="73" xfId="0" applyFont="1" applyFill="1" applyBorder="1" applyAlignment="1">
      <alignment horizontal="right"/>
    </xf>
    <xf numFmtId="0" fontId="7" fillId="34" borderId="95" xfId="0" applyFont="1" applyFill="1" applyBorder="1" applyAlignment="1">
      <alignment horizontal="center"/>
    </xf>
    <xf numFmtId="0" fontId="7" fillId="34" borderId="94" xfId="0" applyFont="1" applyFill="1" applyBorder="1" applyAlignment="1">
      <alignment horizontal="center"/>
    </xf>
    <xf numFmtId="0" fontId="8" fillId="35" borderId="96" xfId="0" applyFont="1" applyFill="1" applyBorder="1" applyAlignment="1">
      <alignment horizontal="left" vertical="top" wrapText="1"/>
    </xf>
    <xf numFmtId="0" fontId="8" fillId="35" borderId="30" xfId="0" applyFont="1" applyFill="1" applyBorder="1" applyAlignment="1">
      <alignment horizontal="left" vertical="top" wrapText="1"/>
    </xf>
    <xf numFmtId="0" fontId="8" fillId="36" borderId="46" xfId="0" applyFont="1" applyFill="1" applyBorder="1" applyAlignment="1">
      <alignment horizontal="left" vertical="top" wrapText="1"/>
    </xf>
    <xf numFmtId="0" fontId="8" fillId="36" borderId="20" xfId="0" applyFont="1" applyFill="1" applyBorder="1" applyAlignment="1">
      <alignment horizontal="left" vertical="top" wrapText="1"/>
    </xf>
    <xf numFmtId="0" fontId="8" fillId="36" borderId="97" xfId="0" applyFont="1" applyFill="1" applyBorder="1" applyAlignment="1">
      <alignment horizontal="left" vertical="top" wrapText="1"/>
    </xf>
    <xf numFmtId="0" fontId="8" fillId="36" borderId="29" xfId="0" applyFont="1" applyFill="1" applyBorder="1" applyAlignment="1">
      <alignment horizontal="left" vertical="top" wrapText="1"/>
    </xf>
    <xf numFmtId="0" fontId="8" fillId="35" borderId="98" xfId="0" applyFont="1" applyFill="1" applyBorder="1" applyAlignment="1">
      <alignment horizontal="left" vertical="top" wrapText="1"/>
    </xf>
    <xf numFmtId="0" fontId="8" fillId="35" borderId="19" xfId="0" applyFont="1" applyFill="1" applyBorder="1" applyAlignment="1">
      <alignment horizontal="left" vertical="top" wrapText="1"/>
    </xf>
    <xf numFmtId="0" fontId="8" fillId="35" borderId="46" xfId="0" applyFont="1" applyFill="1" applyBorder="1" applyAlignment="1">
      <alignment horizontal="left" vertical="top" wrapText="1"/>
    </xf>
    <xf numFmtId="0" fontId="8" fillId="35" borderId="20" xfId="0" applyFont="1" applyFill="1" applyBorder="1" applyAlignment="1">
      <alignment horizontal="left" vertical="top" wrapText="1"/>
    </xf>
    <xf numFmtId="0" fontId="8" fillId="35" borderId="97" xfId="0" applyFont="1" applyFill="1" applyBorder="1" applyAlignment="1">
      <alignment horizontal="left" vertical="top" wrapText="1"/>
    </xf>
    <xf numFmtId="0" fontId="8" fillId="35" borderId="29" xfId="0" applyFont="1" applyFill="1" applyBorder="1" applyAlignment="1">
      <alignment horizontal="left" vertical="top" wrapText="1"/>
    </xf>
    <xf numFmtId="0" fontId="8" fillId="36" borderId="98" xfId="0" applyFont="1" applyFill="1" applyBorder="1" applyAlignment="1">
      <alignment horizontal="left" vertical="top" wrapText="1"/>
    </xf>
    <xf numFmtId="0" fontId="8" fillId="36" borderId="19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6" fillId="37" borderId="74" xfId="0" applyFont="1" applyFill="1" applyBorder="1" applyAlignment="1">
      <alignment horizontal="right"/>
    </xf>
    <xf numFmtId="0" fontId="6" fillId="37" borderId="99" xfId="0" applyFont="1" applyFill="1" applyBorder="1" applyAlignment="1">
      <alignment horizontal="right"/>
    </xf>
    <xf numFmtId="0" fontId="6" fillId="37" borderId="11" xfId="0" applyFont="1" applyFill="1" applyBorder="1" applyAlignment="1">
      <alignment horizontal="right"/>
    </xf>
    <xf numFmtId="4" fontId="6" fillId="37" borderId="74" xfId="0" applyNumberFormat="1" applyFont="1" applyFill="1" applyBorder="1" applyAlignment="1">
      <alignment horizontal="center"/>
    </xf>
    <xf numFmtId="4" fontId="6" fillId="37" borderId="11" xfId="0" applyNumberFormat="1" applyFont="1" applyFill="1" applyBorder="1" applyAlignment="1">
      <alignment horizontal="center"/>
    </xf>
    <xf numFmtId="4" fontId="6" fillId="37" borderId="40" xfId="0" applyNumberFormat="1" applyFont="1" applyFill="1" applyBorder="1" applyAlignment="1">
      <alignment horizontal="center"/>
    </xf>
    <xf numFmtId="4" fontId="6" fillId="37" borderId="73" xfId="0" applyNumberFormat="1" applyFont="1" applyFill="1" applyBorder="1" applyAlignment="1">
      <alignment horizontal="center"/>
    </xf>
    <xf numFmtId="4" fontId="6" fillId="37" borderId="71" xfId="0" applyNumberFormat="1" applyFont="1" applyFill="1" applyBorder="1" applyAlignment="1">
      <alignment horizontal="center"/>
    </xf>
    <xf numFmtId="4" fontId="6" fillId="37" borderId="72" xfId="0" applyNumberFormat="1" applyFont="1" applyFill="1" applyBorder="1" applyAlignment="1">
      <alignment horizontal="center"/>
    </xf>
    <xf numFmtId="0" fontId="6" fillId="37" borderId="71" xfId="0" applyFont="1" applyFill="1" applyBorder="1" applyAlignment="1">
      <alignment horizontal="right"/>
    </xf>
    <xf numFmtId="0" fontId="6" fillId="37" borderId="100" xfId="0" applyFont="1" applyFill="1" applyBorder="1" applyAlignment="1">
      <alignment horizontal="right"/>
    </xf>
    <xf numFmtId="0" fontId="6" fillId="37" borderId="72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75B518"/>
      <rgbColor rgb="00993366"/>
      <rgbColor rgb="00FFFFCC"/>
      <rgbColor rgb="00CCFFFF"/>
      <rgbColor rgb="00660066"/>
      <rgbColor rgb="00FF8080"/>
      <rgbColor rgb="000066CC"/>
      <rgbColor rgb="00CCCCFF"/>
      <rgbColor rgb="00E9D00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</xdr:row>
      <xdr:rowOff>38100</xdr:rowOff>
    </xdr:from>
    <xdr:to>
      <xdr:col>2</xdr:col>
      <xdr:colOff>2162175</xdr:colOff>
      <xdr:row>2</xdr:row>
      <xdr:rowOff>809625</xdr:rowOff>
    </xdr:to>
    <xdr:pic>
      <xdr:nvPicPr>
        <xdr:cNvPr id="1" name="Picture 1" descr="P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14325"/>
          <a:ext cx="2133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19050</xdr:rowOff>
    </xdr:from>
    <xdr:to>
      <xdr:col>7</xdr:col>
      <xdr:colOff>209550</xdr:colOff>
      <xdr:row>13</xdr:row>
      <xdr:rowOff>171450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2924175"/>
          <a:ext cx="161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14</xdr:row>
      <xdr:rowOff>19050</xdr:rowOff>
    </xdr:from>
    <xdr:to>
      <xdr:col>9</xdr:col>
      <xdr:colOff>47625</xdr:colOff>
      <xdr:row>15</xdr:row>
      <xdr:rowOff>9525</xdr:rowOff>
    </xdr:to>
    <xdr:pic>
      <xdr:nvPicPr>
        <xdr:cNvPr id="3" name="Tex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3305175"/>
          <a:ext cx="371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28575</xdr:rowOff>
    </xdr:from>
    <xdr:to>
      <xdr:col>2</xdr:col>
      <xdr:colOff>2190750</xdr:colOff>
      <xdr:row>2</xdr:row>
      <xdr:rowOff>800100</xdr:rowOff>
    </xdr:to>
    <xdr:pic>
      <xdr:nvPicPr>
        <xdr:cNvPr id="1" name="Picture 2" descr="P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04800"/>
          <a:ext cx="2133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12</xdr:row>
      <xdr:rowOff>19050</xdr:rowOff>
    </xdr:from>
    <xdr:to>
      <xdr:col>9</xdr:col>
      <xdr:colOff>209550</xdr:colOff>
      <xdr:row>13</xdr:row>
      <xdr:rowOff>171450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2924175"/>
          <a:ext cx="161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552450</xdr:colOff>
      <xdr:row>14</xdr:row>
      <xdr:rowOff>19050</xdr:rowOff>
    </xdr:from>
    <xdr:to>
      <xdr:col>11</xdr:col>
      <xdr:colOff>57150</xdr:colOff>
      <xdr:row>15</xdr:row>
      <xdr:rowOff>9525</xdr:rowOff>
    </xdr:to>
    <xdr:pic>
      <xdr:nvPicPr>
        <xdr:cNvPr id="3" name="Tex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3305175"/>
          <a:ext cx="371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AB62"/>
  <sheetViews>
    <sheetView showGridLines="0" showRowColHeaders="0" showZeros="0" tabSelected="1" view="pageLayout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0.9921875" style="1" customWidth="1"/>
    <col min="3" max="3" width="40.7109375" style="1" customWidth="1"/>
    <col min="4" max="4" width="0.9921875" style="1" customWidth="1"/>
    <col min="5" max="6" width="13.8515625" style="1" customWidth="1"/>
    <col min="7" max="7" width="0.9921875" style="1" customWidth="1"/>
    <col min="8" max="8" width="13.28125" style="1" customWidth="1"/>
    <col min="9" max="9" width="13.00390625" style="1" customWidth="1"/>
    <col min="10" max="10" width="13.7109375" style="9" customWidth="1"/>
    <col min="11" max="11" width="13.421875" style="1" customWidth="1"/>
    <col min="12" max="12" width="0.9921875" style="1" customWidth="1"/>
    <col min="13" max="13" width="2.57421875" style="1" customWidth="1"/>
    <col min="14" max="16384" width="9.140625" style="1" customWidth="1"/>
  </cols>
  <sheetData>
    <row r="1" ht="16.5" customHeight="1" thickBot="1"/>
    <row r="2" spans="2:12" ht="5.25" customHeight="1" thickBot="1">
      <c r="B2" s="10"/>
      <c r="C2" s="11"/>
      <c r="D2" s="11"/>
      <c r="E2" s="11"/>
      <c r="F2" s="11"/>
      <c r="G2" s="11"/>
      <c r="H2" s="11"/>
      <c r="I2" s="11"/>
      <c r="J2" s="11"/>
      <c r="K2" s="11"/>
      <c r="L2" s="7"/>
    </row>
    <row r="3" spans="2:12" ht="68.25" customHeight="1" thickBot="1">
      <c r="B3" s="12"/>
      <c r="C3" s="174" t="s">
        <v>102</v>
      </c>
      <c r="D3" s="175"/>
      <c r="E3" s="175"/>
      <c r="F3" s="175"/>
      <c r="G3" s="175"/>
      <c r="H3" s="175"/>
      <c r="I3" s="175"/>
      <c r="J3" s="175"/>
      <c r="K3" s="176"/>
      <c r="L3" s="8"/>
    </row>
    <row r="4" spans="2:12" ht="18.75" customHeight="1" thickBot="1">
      <c r="B4" s="12"/>
      <c r="C4" s="184" t="s">
        <v>8</v>
      </c>
      <c r="D4" s="184"/>
      <c r="E4" s="184"/>
      <c r="F4" s="184"/>
      <c r="G4" s="11"/>
      <c r="H4" s="122" t="s">
        <v>71</v>
      </c>
      <c r="I4" s="122"/>
      <c r="J4" s="122"/>
      <c r="K4" s="122"/>
      <c r="L4" s="21"/>
    </row>
    <row r="5" spans="2:12" ht="15">
      <c r="B5" s="12"/>
      <c r="C5" s="52" t="s">
        <v>70</v>
      </c>
      <c r="D5" s="55"/>
      <c r="E5" s="197" t="s">
        <v>117</v>
      </c>
      <c r="F5" s="198"/>
      <c r="G5" s="2"/>
      <c r="H5" s="45" t="s">
        <v>72</v>
      </c>
      <c r="I5" s="188"/>
      <c r="J5" s="189"/>
      <c r="K5" s="190"/>
      <c r="L5" s="21"/>
    </row>
    <row r="6" spans="2:12" ht="15">
      <c r="B6" s="12"/>
      <c r="C6" s="53" t="s">
        <v>80</v>
      </c>
      <c r="D6" s="55"/>
      <c r="E6" s="74">
        <v>11</v>
      </c>
      <c r="F6" s="48" t="s">
        <v>96</v>
      </c>
      <c r="G6" s="2"/>
      <c r="H6" s="45" t="s">
        <v>73</v>
      </c>
      <c r="I6" s="185"/>
      <c r="J6" s="186"/>
      <c r="K6" s="187"/>
      <c r="L6" s="21"/>
    </row>
    <row r="7" spans="2:12" ht="15">
      <c r="B7" s="12"/>
      <c r="C7" s="54" t="s">
        <v>81</v>
      </c>
      <c r="D7" s="55"/>
      <c r="E7" s="131">
        <v>0.12</v>
      </c>
      <c r="F7" s="49" t="s">
        <v>2</v>
      </c>
      <c r="G7" s="2"/>
      <c r="H7" s="45" t="s">
        <v>74</v>
      </c>
      <c r="I7" s="185" t="s">
        <v>69</v>
      </c>
      <c r="J7" s="186"/>
      <c r="K7" s="187"/>
      <c r="L7" s="21"/>
    </row>
    <row r="8" spans="2:12" ht="15">
      <c r="B8" s="12"/>
      <c r="C8" s="54" t="s">
        <v>82</v>
      </c>
      <c r="D8" s="55"/>
      <c r="E8" s="131">
        <v>12.44</v>
      </c>
      <c r="F8" s="49" t="s">
        <v>97</v>
      </c>
      <c r="G8" s="2"/>
      <c r="H8" s="45" t="s">
        <v>75</v>
      </c>
      <c r="I8" s="185" t="s">
        <v>69</v>
      </c>
      <c r="J8" s="186"/>
      <c r="K8" s="187"/>
      <c r="L8" s="21"/>
    </row>
    <row r="9" spans="2:12" ht="15">
      <c r="B9" s="12"/>
      <c r="C9" s="54" t="s">
        <v>83</v>
      </c>
      <c r="D9" s="55"/>
      <c r="E9" s="131">
        <v>6.21</v>
      </c>
      <c r="F9" s="49" t="s">
        <v>97</v>
      </c>
      <c r="G9" s="2"/>
      <c r="H9" s="123" t="s">
        <v>93</v>
      </c>
      <c r="I9" s="199" t="s">
        <v>69</v>
      </c>
      <c r="J9" s="200"/>
      <c r="K9" s="201"/>
      <c r="L9" s="21"/>
    </row>
    <row r="10" spans="2:28" ht="15">
      <c r="B10" s="12"/>
      <c r="C10" s="54" t="s">
        <v>84</v>
      </c>
      <c r="D10" s="55"/>
      <c r="E10" s="75">
        <v>24</v>
      </c>
      <c r="F10" s="49" t="s">
        <v>98</v>
      </c>
      <c r="G10" s="2"/>
      <c r="H10" s="45" t="s">
        <v>76</v>
      </c>
      <c r="I10" s="185" t="s">
        <v>69</v>
      </c>
      <c r="J10" s="186"/>
      <c r="K10" s="187"/>
      <c r="L10" s="21"/>
      <c r="AB10" s="1" t="s">
        <v>57</v>
      </c>
    </row>
    <row r="11" spans="2:28" ht="15">
      <c r="B11" s="12"/>
      <c r="C11" s="54" t="s">
        <v>85</v>
      </c>
      <c r="D11" s="55"/>
      <c r="E11" s="75">
        <v>0</v>
      </c>
      <c r="F11" s="49" t="s">
        <v>98</v>
      </c>
      <c r="G11" s="59"/>
      <c r="H11" s="45" t="s">
        <v>77</v>
      </c>
      <c r="I11" s="185" t="s">
        <v>69</v>
      </c>
      <c r="J11" s="186"/>
      <c r="K11" s="187"/>
      <c r="L11" s="21"/>
      <c r="AB11" s="1" t="s">
        <v>58</v>
      </c>
    </row>
    <row r="12" spans="2:28" ht="15">
      <c r="B12" s="12"/>
      <c r="C12" s="54" t="s">
        <v>86</v>
      </c>
      <c r="D12" s="55"/>
      <c r="E12" s="75">
        <v>24</v>
      </c>
      <c r="F12" s="49" t="s">
        <v>98</v>
      </c>
      <c r="G12" s="59"/>
      <c r="H12" s="103" t="s">
        <v>78</v>
      </c>
      <c r="I12" s="208" t="s">
        <v>69</v>
      </c>
      <c r="J12" s="209"/>
      <c r="K12" s="210"/>
      <c r="L12" s="21"/>
      <c r="AB12" s="1" t="s">
        <v>59</v>
      </c>
    </row>
    <row r="13" spans="2:28" ht="15">
      <c r="B13" s="12"/>
      <c r="C13" s="54" t="s">
        <v>87</v>
      </c>
      <c r="D13" s="55"/>
      <c r="E13" s="75">
        <v>0</v>
      </c>
      <c r="F13" s="49" t="s">
        <v>98</v>
      </c>
      <c r="G13" s="59"/>
      <c r="H13" s="214" t="s">
        <v>79</v>
      </c>
      <c r="I13" s="215"/>
      <c r="J13" s="215"/>
      <c r="K13" s="216"/>
      <c r="L13" s="21"/>
      <c r="AB13" s="1" t="s">
        <v>60</v>
      </c>
    </row>
    <row r="14" spans="2:12" ht="15">
      <c r="B14" s="12"/>
      <c r="C14" s="54" t="s">
        <v>88</v>
      </c>
      <c r="D14" s="55"/>
      <c r="E14" s="75">
        <v>0</v>
      </c>
      <c r="F14" s="49" t="s">
        <v>3</v>
      </c>
      <c r="G14" s="59"/>
      <c r="H14" s="217"/>
      <c r="I14" s="218"/>
      <c r="J14" s="218"/>
      <c r="K14" s="219"/>
      <c r="L14" s="21"/>
    </row>
    <row r="15" spans="2:12" ht="16.5" customHeight="1">
      <c r="B15" s="12"/>
      <c r="C15" s="54" t="s">
        <v>89</v>
      </c>
      <c r="D15" s="55"/>
      <c r="E15" s="76">
        <v>230</v>
      </c>
      <c r="F15" s="49" t="s">
        <v>99</v>
      </c>
      <c r="G15" s="59"/>
      <c r="H15" s="220" t="s">
        <v>143</v>
      </c>
      <c r="I15" s="221"/>
      <c r="J15" s="221"/>
      <c r="K15" s="222"/>
      <c r="L15" s="21"/>
    </row>
    <row r="16" spans="2:12" ht="15">
      <c r="B16" s="12"/>
      <c r="C16" s="54" t="s">
        <v>90</v>
      </c>
      <c r="D16" s="55"/>
      <c r="E16" s="76">
        <v>175</v>
      </c>
      <c r="F16" s="49" t="s">
        <v>99</v>
      </c>
      <c r="G16" s="59"/>
      <c r="H16" s="191" t="s">
        <v>91</v>
      </c>
      <c r="I16" s="192"/>
      <c r="J16" s="192"/>
      <c r="K16" s="193"/>
      <c r="L16" s="21"/>
    </row>
    <row r="17" spans="2:12" ht="15">
      <c r="B17" s="12"/>
      <c r="C17" s="54" t="s">
        <v>94</v>
      </c>
      <c r="D17" s="55"/>
      <c r="E17" s="76">
        <v>65</v>
      </c>
      <c r="F17" s="49" t="s">
        <v>0</v>
      </c>
      <c r="G17" s="59"/>
      <c r="H17" s="194"/>
      <c r="I17" s="195"/>
      <c r="J17" s="195"/>
      <c r="K17" s="196"/>
      <c r="L17" s="21"/>
    </row>
    <row r="18" spans="2:12" ht="15">
      <c r="B18" s="12"/>
      <c r="C18" s="54" t="s">
        <v>101</v>
      </c>
      <c r="D18" s="55"/>
      <c r="E18" s="76">
        <v>10</v>
      </c>
      <c r="F18" s="49" t="s">
        <v>0</v>
      </c>
      <c r="G18" s="59"/>
      <c r="H18" s="51" t="s">
        <v>92</v>
      </c>
      <c r="I18" s="47"/>
      <c r="J18" s="47"/>
      <c r="K18" s="44"/>
      <c r="L18" s="21"/>
    </row>
    <row r="19" spans="2:12" ht="15">
      <c r="B19" s="12"/>
      <c r="C19" s="54" t="s">
        <v>95</v>
      </c>
      <c r="D19" s="55"/>
      <c r="E19" s="76">
        <v>35</v>
      </c>
      <c r="F19" s="49" t="s">
        <v>0</v>
      </c>
      <c r="G19" s="59"/>
      <c r="H19" s="202"/>
      <c r="I19" s="203"/>
      <c r="J19" s="203"/>
      <c r="K19" s="204"/>
      <c r="L19" s="21"/>
    </row>
    <row r="20" spans="2:12" ht="15.75" thickBot="1">
      <c r="B20" s="12"/>
      <c r="C20" s="54" t="s">
        <v>100</v>
      </c>
      <c r="D20" s="55"/>
      <c r="E20" s="77">
        <v>1.5</v>
      </c>
      <c r="F20" s="50" t="s">
        <v>0</v>
      </c>
      <c r="G20" s="59"/>
      <c r="H20" s="205"/>
      <c r="I20" s="206"/>
      <c r="J20" s="206"/>
      <c r="K20" s="207"/>
      <c r="L20" s="21"/>
    </row>
    <row r="21" spans="2:12" ht="7.5" customHeight="1" thickBot="1">
      <c r="B21" s="16"/>
      <c r="C21" s="17"/>
      <c r="D21" s="17"/>
      <c r="E21" s="18"/>
      <c r="F21" s="109"/>
      <c r="G21" s="19"/>
      <c r="H21" s="110"/>
      <c r="I21" s="110"/>
      <c r="J21" s="17"/>
      <c r="K21" s="17"/>
      <c r="L21" s="43"/>
    </row>
    <row r="22" ht="15.75" customHeight="1" thickBot="1">
      <c r="J22" s="1"/>
    </row>
    <row r="23" spans="4:12" ht="5.25" customHeight="1" thickBot="1">
      <c r="D23" s="10"/>
      <c r="E23" s="133" t="s">
        <v>103</v>
      </c>
      <c r="F23" s="133"/>
      <c r="G23" s="60"/>
      <c r="H23" s="61"/>
      <c r="I23" s="61"/>
      <c r="J23" s="11"/>
      <c r="K23" s="11"/>
      <c r="L23" s="111"/>
    </row>
    <row r="24" spans="3:12" ht="15.75" thickBot="1">
      <c r="C24" s="172" t="s">
        <v>118</v>
      </c>
      <c r="D24" s="12"/>
      <c r="E24" s="211"/>
      <c r="F24" s="211"/>
      <c r="G24" s="2"/>
      <c r="H24" s="182" t="s">
        <v>1</v>
      </c>
      <c r="I24" s="183"/>
      <c r="J24" s="182" t="s">
        <v>108</v>
      </c>
      <c r="K24" s="183"/>
      <c r="L24" s="21"/>
    </row>
    <row r="25" spans="3:12" ht="15">
      <c r="C25" s="173"/>
      <c r="D25" s="12"/>
      <c r="E25" s="158"/>
      <c r="F25" s="159"/>
      <c r="G25" s="79"/>
      <c r="H25" s="3" t="s">
        <v>109</v>
      </c>
      <c r="I25" s="4" t="s">
        <v>110</v>
      </c>
      <c r="J25" s="3" t="s">
        <v>109</v>
      </c>
      <c r="K25" s="4" t="s">
        <v>110</v>
      </c>
      <c r="L25" s="21"/>
    </row>
    <row r="26" spans="3:12" ht="12.75" customHeight="1" hidden="1">
      <c r="C26" s="173"/>
      <c r="D26" s="12"/>
      <c r="E26" s="118" t="s">
        <v>4</v>
      </c>
      <c r="F26" s="119"/>
      <c r="G26" s="79"/>
      <c r="H26" s="87">
        <f>PCOHDNoPS*BDY</f>
        <v>5520</v>
      </c>
      <c r="I26" s="88">
        <f>PCOHDWithPS*BDY</f>
        <v>0</v>
      </c>
      <c r="J26" s="87">
        <f>PCOHDNoPS*SDY</f>
        <v>4200</v>
      </c>
      <c r="K26" s="88">
        <f>PCOHDWithPS*SDY</f>
        <v>0</v>
      </c>
      <c r="L26" s="21"/>
    </row>
    <row r="27" spans="3:12" ht="12.75" customHeight="1" hidden="1">
      <c r="C27" s="173"/>
      <c r="D27" s="12"/>
      <c r="E27" s="116" t="s">
        <v>5</v>
      </c>
      <c r="F27" s="117"/>
      <c r="G27" s="79"/>
      <c r="H27" s="89">
        <f>8760-PCOHYNoPSCorp</f>
        <v>3240</v>
      </c>
      <c r="I27" s="70">
        <f>8760-PCOHYWithPSCorp</f>
        <v>8760</v>
      </c>
      <c r="J27" s="89">
        <f>8760-PCOHYNoPSEduc</f>
        <v>4560</v>
      </c>
      <c r="K27" s="70">
        <f>8760-PCOHYWithPSEduc</f>
        <v>8760</v>
      </c>
      <c r="L27" s="21"/>
    </row>
    <row r="28" spans="3:12" ht="12.75" customHeight="1" hidden="1">
      <c r="C28" s="173"/>
      <c r="D28" s="12"/>
      <c r="E28" s="116" t="s">
        <v>6</v>
      </c>
      <c r="F28" s="117"/>
      <c r="G28" s="79"/>
      <c r="H28" s="87">
        <f>MOHDNoPS*BDY</f>
        <v>5520</v>
      </c>
      <c r="I28" s="88">
        <f>MOHDWithPS*BDY</f>
        <v>0</v>
      </c>
      <c r="J28" s="87">
        <f>MOHDNoPS*SDY</f>
        <v>4200</v>
      </c>
      <c r="K28" s="88">
        <f>MOHDWithPS*SDY</f>
        <v>0</v>
      </c>
      <c r="L28" s="21"/>
    </row>
    <row r="29" spans="3:12" ht="12.75" customHeight="1" hidden="1">
      <c r="C29" s="173"/>
      <c r="D29" s="12"/>
      <c r="E29" s="116" t="s">
        <v>7</v>
      </c>
      <c r="F29" s="117"/>
      <c r="G29" s="79"/>
      <c r="H29" s="90">
        <f>8760-MOHYNoPSCorp</f>
        <v>3240</v>
      </c>
      <c r="I29" s="91">
        <f>8760-MOHYWithPSCorp</f>
        <v>8760</v>
      </c>
      <c r="J29" s="90">
        <f>8760-MOHYNoPSEduc</f>
        <v>4560</v>
      </c>
      <c r="K29" s="91">
        <f>8760-MOHYWithPSEduc</f>
        <v>8760</v>
      </c>
      <c r="L29" s="21"/>
    </row>
    <row r="30" spans="3:12" ht="12.75" customHeight="1" hidden="1">
      <c r="C30" s="173"/>
      <c r="D30" s="12"/>
      <c r="E30" s="116" t="s">
        <v>62</v>
      </c>
      <c r="F30" s="117"/>
      <c r="G30" s="79"/>
      <c r="H30" s="92">
        <f>PCOHYNoPSCorp*PCCO+PCNHYNoPSCorp*PCCS</f>
        <v>391200</v>
      </c>
      <c r="I30" s="93">
        <f>PCOHYWithPSCorp*PCCO+PCNHYWithPSCorp*PCCS</f>
        <v>87600</v>
      </c>
      <c r="J30" s="92">
        <f>PCOHYNoPSEduc*PCCO+PCNHYNoPSEduc*PCCS</f>
        <v>318600</v>
      </c>
      <c r="K30" s="93">
        <f>PCOHYWithPSEduc*PCCO+PCNHYWithPSEduc*PCCS</f>
        <v>87600</v>
      </c>
      <c r="L30" s="21"/>
    </row>
    <row r="31" spans="3:12" ht="12.75" customHeight="1" hidden="1">
      <c r="C31" s="173"/>
      <c r="D31" s="12"/>
      <c r="E31" s="116" t="s">
        <v>63</v>
      </c>
      <c r="F31" s="117"/>
      <c r="G31" s="79"/>
      <c r="H31" s="178">
        <f>PCOHYWithPSCorp*PCCO</f>
        <v>0</v>
      </c>
      <c r="I31" s="179"/>
      <c r="J31" s="178">
        <f>PCOHYWithPSEduc*PCCO</f>
        <v>0</v>
      </c>
      <c r="K31" s="179"/>
      <c r="L31" s="21"/>
    </row>
    <row r="32" spans="3:12" ht="12.75" customHeight="1" hidden="1">
      <c r="C32" s="173"/>
      <c r="D32" s="12"/>
      <c r="E32" s="116" t="s">
        <v>64</v>
      </c>
      <c r="F32" s="117"/>
      <c r="G32" s="79"/>
      <c r="H32" s="180">
        <f>MOHYNoPSCorp*MCO+MNHYNoPSCorp*MCS</f>
        <v>198060</v>
      </c>
      <c r="I32" s="181"/>
      <c r="J32" s="180">
        <f>MOHYNoPSEduc*MCO+MNHYNoPSEduc*MCS</f>
        <v>153840</v>
      </c>
      <c r="K32" s="181"/>
      <c r="L32" s="21"/>
    </row>
    <row r="33" spans="3:12" ht="12.75" customHeight="1" hidden="1">
      <c r="C33" s="173"/>
      <c r="D33" s="12"/>
      <c r="E33" s="116" t="s">
        <v>65</v>
      </c>
      <c r="F33" s="117"/>
      <c r="G33" s="79"/>
      <c r="H33" s="94">
        <f>PCCYNoPSCorp+MCYCorp</f>
        <v>589260</v>
      </c>
      <c r="I33" s="95">
        <f>PCCYWithPSCorp+MCYCorp</f>
        <v>285660</v>
      </c>
      <c r="J33" s="94">
        <f>PCCYNoPSEduc+MCYEduc</f>
        <v>472440</v>
      </c>
      <c r="K33" s="96">
        <f>PCCYWithPSEduc+MCYEduc</f>
        <v>241440</v>
      </c>
      <c r="L33" s="21"/>
    </row>
    <row r="34" spans="3:12" ht="12.75" customHeight="1" hidden="1">
      <c r="C34" s="173"/>
      <c r="D34" s="12"/>
      <c r="E34" s="116" t="s">
        <v>66</v>
      </c>
      <c r="F34" s="117"/>
      <c r="G34" s="79"/>
      <c r="H34" s="136">
        <f>PCCYMPOCorp+MCYCorp</f>
        <v>198060</v>
      </c>
      <c r="I34" s="137"/>
      <c r="J34" s="136">
        <f>PCCYMPOEduc+MCYEduc</f>
        <v>153840</v>
      </c>
      <c r="K34" s="137"/>
      <c r="L34" s="21"/>
    </row>
    <row r="35" spans="3:12" ht="12.75" customHeight="1" hidden="1">
      <c r="C35" s="173"/>
      <c r="D35" s="12"/>
      <c r="E35" s="116" t="s">
        <v>67</v>
      </c>
      <c r="F35" s="117"/>
      <c r="G35" s="79"/>
      <c r="H35" s="97">
        <f>TCYNoPSCorp/1000*ET</f>
        <v>70.71119999999999</v>
      </c>
      <c r="I35" s="67">
        <f>TCYWithPSCorp/1000*ET</f>
        <v>34.2792</v>
      </c>
      <c r="J35" s="97">
        <f>TCYNoPSEduc/1000*ET</f>
        <v>56.6928</v>
      </c>
      <c r="K35" s="67">
        <f>TCYWithPSEduc/1000*ET</f>
        <v>28.9728</v>
      </c>
      <c r="L35" s="21"/>
    </row>
    <row r="36" spans="3:12" ht="12.75" customHeight="1" hidden="1">
      <c r="C36" s="173"/>
      <c r="D36" s="12"/>
      <c r="E36" s="120" t="s">
        <v>68</v>
      </c>
      <c r="F36" s="121"/>
      <c r="G36" s="79"/>
      <c r="H36" s="138">
        <f>TCYMPOCorp/1000*ET</f>
        <v>23.7672</v>
      </c>
      <c r="I36" s="139"/>
      <c r="J36" s="138">
        <f>TCYMPOEduc/1000*ET</f>
        <v>18.4608</v>
      </c>
      <c r="K36" s="139"/>
      <c r="L36" s="21"/>
    </row>
    <row r="37" spans="3:12" ht="13.5" thickBot="1">
      <c r="C37" s="173"/>
      <c r="D37" s="12"/>
      <c r="E37" s="212" t="s">
        <v>104</v>
      </c>
      <c r="F37" s="213"/>
      <c r="G37" s="79"/>
      <c r="H37" s="128">
        <f>ECYNoPSCorp*NC*(100-PCMPO)/100+ECYMPOCorp*NC*PCMPO/100</f>
        <v>777.8231999999999</v>
      </c>
      <c r="I37" s="129">
        <f>ECYWithPSCorp*NC*(100-PCMPO)/100+ECYMPOCorp*NC*PCMPO/100</f>
        <v>377.07120000000003</v>
      </c>
      <c r="J37" s="128">
        <f>ECYNoPSEduc*NC*(100-PCMPO)/100+ECYMPOEduc*NC*PCMPO/100</f>
        <v>623.6208</v>
      </c>
      <c r="K37" s="130">
        <f>ECYWithPSEduc*NC*(100-PCMPO)/100+ECYMPOEduc*NC*PCMPO/100</f>
        <v>318.7008</v>
      </c>
      <c r="L37" s="21"/>
    </row>
    <row r="38" spans="3:12" ht="15">
      <c r="C38" s="173"/>
      <c r="D38" s="12"/>
      <c r="E38" s="160" t="s">
        <v>105</v>
      </c>
      <c r="F38" s="161"/>
      <c r="G38" s="79"/>
      <c r="H38" s="148">
        <f>NC*PSPCorp</f>
        <v>136.84</v>
      </c>
      <c r="I38" s="149"/>
      <c r="J38" s="148">
        <f>NC*PSPEduc</f>
        <v>68.31</v>
      </c>
      <c r="K38" s="149"/>
      <c r="L38" s="21"/>
    </row>
    <row r="39" spans="3:12" ht="15">
      <c r="C39" s="173"/>
      <c r="D39" s="12"/>
      <c r="E39" s="160" t="s">
        <v>106</v>
      </c>
      <c r="F39" s="161"/>
      <c r="G39" s="79"/>
      <c r="H39" s="168">
        <f>IF(TCANoPSCorp=TCAWithPSCorp,"n/a",(TCANoPSCorp-TCAWithPSCorp)/12)</f>
        <v>33.395999999999994</v>
      </c>
      <c r="I39" s="169"/>
      <c r="J39" s="168">
        <f>IF(TCANoPSEduc=TCAWithPSEduc,"n/a",(TCANoPSEduc-TCAWithPSEduc)/12)</f>
        <v>25.41</v>
      </c>
      <c r="K39" s="169"/>
      <c r="L39" s="21"/>
    </row>
    <row r="40" spans="3:12" ht="22.5" customHeight="1" thickBot="1">
      <c r="C40" s="173"/>
      <c r="D40" s="12"/>
      <c r="E40" s="162" t="s">
        <v>107</v>
      </c>
      <c r="F40" s="163"/>
      <c r="G40" s="79"/>
      <c r="H40" s="170">
        <f>IF(ROSCorp="n/a","n/a",PSCCorp/ROSCorp)</f>
        <v>4.097496706192359</v>
      </c>
      <c r="I40" s="171"/>
      <c r="J40" s="170">
        <f>IF(ROSEduc="n/a","n/a",PSCEduc/ROSEduc)</f>
        <v>2.688311688311688</v>
      </c>
      <c r="K40" s="171"/>
      <c r="L40" s="21"/>
    </row>
    <row r="41" spans="3:12" ht="5.25" customHeight="1" thickBot="1">
      <c r="C41" s="173"/>
      <c r="D41" s="16"/>
      <c r="E41" s="17"/>
      <c r="F41" s="17"/>
      <c r="G41" s="17"/>
      <c r="H41" s="17"/>
      <c r="I41" s="17"/>
      <c r="J41" s="42"/>
      <c r="K41" s="17"/>
      <c r="L41" s="43"/>
    </row>
    <row r="42" spans="3:10" ht="17.25" customHeight="1" thickBot="1">
      <c r="C42" s="173"/>
      <c r="J42" s="1"/>
    </row>
    <row r="43" spans="3:12" ht="5.25" customHeight="1">
      <c r="C43" s="173"/>
      <c r="D43" s="115"/>
      <c r="E43" s="164" t="s">
        <v>111</v>
      </c>
      <c r="F43" s="165"/>
      <c r="G43" s="165"/>
      <c r="H43" s="165"/>
      <c r="I43" s="165"/>
      <c r="J43" s="133" t="s">
        <v>112</v>
      </c>
      <c r="K43" s="134"/>
      <c r="L43" s="111"/>
    </row>
    <row r="44" spans="3:12" ht="18" customHeight="1" thickBot="1">
      <c r="C44" s="173"/>
      <c r="D44" s="12"/>
      <c r="E44" s="166"/>
      <c r="F44" s="166"/>
      <c r="G44" s="166"/>
      <c r="H44" s="166"/>
      <c r="I44" s="166"/>
      <c r="J44" s="135"/>
      <c r="K44" s="135"/>
      <c r="L44" s="114"/>
    </row>
    <row r="45" spans="3:12" ht="12.75">
      <c r="C45" s="173"/>
      <c r="D45" s="12"/>
      <c r="E45" s="154" t="s">
        <v>116</v>
      </c>
      <c r="F45" s="155"/>
      <c r="G45" s="78"/>
      <c r="H45" s="142">
        <f>(TCANoPSCorp-TCAWithPSCorp)/1250</f>
        <v>0.32060159999999993</v>
      </c>
      <c r="I45" s="143"/>
      <c r="J45" s="142">
        <f>(TCANoPSEduc-TCAWithPSEduc)/1250</f>
        <v>0.24393600000000001</v>
      </c>
      <c r="K45" s="143"/>
      <c r="L45" s="21"/>
    </row>
    <row r="46" spans="3:12" ht="12.75">
      <c r="C46" s="173"/>
      <c r="D46" s="12"/>
      <c r="E46" s="150" t="s">
        <v>113</v>
      </c>
      <c r="F46" s="151"/>
      <c r="G46" s="78"/>
      <c r="H46" s="144">
        <f>(TCANoPSCorp-TCAWithPSCorp)*1.43*0.4535924</f>
        <v>259.9426279232639</v>
      </c>
      <c r="I46" s="145"/>
      <c r="J46" s="144">
        <f>(TCANoPSEduc-TCAWithPSEduc)*1.43*0.4535924</f>
        <v>197.78243428944</v>
      </c>
      <c r="K46" s="145"/>
      <c r="L46" s="21"/>
    </row>
    <row r="47" spans="3:12" ht="12.75">
      <c r="C47" s="173"/>
      <c r="D47" s="12"/>
      <c r="E47" s="150" t="s">
        <v>115</v>
      </c>
      <c r="F47" s="151"/>
      <c r="G47" s="78"/>
      <c r="H47" s="146">
        <f>H46/1000</f>
        <v>0.2599426279232639</v>
      </c>
      <c r="I47" s="147"/>
      <c r="J47" s="146">
        <f>J46/1000</f>
        <v>0.19778243428944</v>
      </c>
      <c r="K47" s="147"/>
      <c r="L47" s="21"/>
    </row>
    <row r="48" spans="3:15" ht="19.5" customHeight="1">
      <c r="C48" s="173"/>
      <c r="D48" s="12"/>
      <c r="E48" s="156" t="s">
        <v>114</v>
      </c>
      <c r="F48" s="157"/>
      <c r="G48" s="78"/>
      <c r="H48" s="146">
        <f>H46/11560/0.4535924</f>
        <v>0.04957399307958476</v>
      </c>
      <c r="I48" s="147"/>
      <c r="J48" s="146">
        <f>J46/11560/0.4535924</f>
        <v>0.037719342560553634</v>
      </c>
      <c r="K48" s="147"/>
      <c r="L48" s="21"/>
      <c r="O48" s="124"/>
    </row>
    <row r="49" spans="3:12" ht="13.5" thickBot="1">
      <c r="C49" s="173"/>
      <c r="D49" s="12"/>
      <c r="E49" s="152" t="s">
        <v>119</v>
      </c>
      <c r="F49" s="153"/>
      <c r="G49" s="78"/>
      <c r="H49" s="140">
        <f>H46/7333/0.4535924</f>
        <v>0.0781501922814673</v>
      </c>
      <c r="I49" s="141"/>
      <c r="J49" s="140">
        <f>J46/7333/0.4535924</f>
        <v>0.059462102822855585</v>
      </c>
      <c r="K49" s="141"/>
      <c r="L49" s="21"/>
    </row>
    <row r="50" spans="4:12" ht="4.5" customHeight="1" thickBot="1">
      <c r="D50" s="16"/>
      <c r="E50" s="17"/>
      <c r="F50" s="17"/>
      <c r="G50" s="17"/>
      <c r="H50" s="17"/>
      <c r="I50" s="17"/>
      <c r="J50" s="17"/>
      <c r="K50" s="17"/>
      <c r="L50" s="43"/>
    </row>
    <row r="51" spans="3:11" ht="17.25">
      <c r="C51" s="167"/>
      <c r="D51" s="167"/>
      <c r="E51" s="167"/>
      <c r="F51" s="167"/>
      <c r="G51" s="167"/>
      <c r="H51" s="167"/>
      <c r="I51" s="167"/>
      <c r="J51" s="167"/>
      <c r="K51" s="167"/>
    </row>
    <row r="52" spans="3:11" ht="32.25" customHeight="1">
      <c r="C52" s="177"/>
      <c r="D52" s="167"/>
      <c r="E52" s="167"/>
      <c r="F52" s="167"/>
      <c r="G52" s="167"/>
      <c r="H52" s="167"/>
      <c r="I52" s="167"/>
      <c r="J52" s="167"/>
      <c r="K52" s="167"/>
    </row>
    <row r="56" ht="12.75">
      <c r="J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</sheetData>
  <sheetProtection/>
  <mergeCells count="58">
    <mergeCell ref="J38:K38"/>
    <mergeCell ref="E5:F5"/>
    <mergeCell ref="I9:K9"/>
    <mergeCell ref="H19:K20"/>
    <mergeCell ref="I12:K12"/>
    <mergeCell ref="E23:F24"/>
    <mergeCell ref="E37:F37"/>
    <mergeCell ref="H24:I24"/>
    <mergeCell ref="I10:K10"/>
    <mergeCell ref="I11:K11"/>
    <mergeCell ref="J24:K24"/>
    <mergeCell ref="C4:F4"/>
    <mergeCell ref="I8:K8"/>
    <mergeCell ref="I6:K6"/>
    <mergeCell ref="I7:K7"/>
    <mergeCell ref="I5:K5"/>
    <mergeCell ref="H16:K16"/>
    <mergeCell ref="H17:K17"/>
    <mergeCell ref="H13:K14"/>
    <mergeCell ref="H15:K15"/>
    <mergeCell ref="C24:C49"/>
    <mergeCell ref="E39:F39"/>
    <mergeCell ref="C3:K3"/>
    <mergeCell ref="C52:K52"/>
    <mergeCell ref="H39:I39"/>
    <mergeCell ref="H31:I31"/>
    <mergeCell ref="J31:K31"/>
    <mergeCell ref="H32:I32"/>
    <mergeCell ref="J32:K32"/>
    <mergeCell ref="H34:I34"/>
    <mergeCell ref="E25:F25"/>
    <mergeCell ref="E38:F38"/>
    <mergeCell ref="E40:F40"/>
    <mergeCell ref="E43:I44"/>
    <mergeCell ref="C51:K51"/>
    <mergeCell ref="J39:K39"/>
    <mergeCell ref="H40:I40"/>
    <mergeCell ref="J40:K40"/>
    <mergeCell ref="H45:I45"/>
    <mergeCell ref="H46:I46"/>
    <mergeCell ref="H38:I38"/>
    <mergeCell ref="E46:F46"/>
    <mergeCell ref="E49:F49"/>
    <mergeCell ref="E45:F45"/>
    <mergeCell ref="E48:F48"/>
    <mergeCell ref="E47:F47"/>
    <mergeCell ref="H47:I47"/>
    <mergeCell ref="H48:I48"/>
    <mergeCell ref="J43:K44"/>
    <mergeCell ref="J34:K34"/>
    <mergeCell ref="H36:I36"/>
    <mergeCell ref="J36:K36"/>
    <mergeCell ref="J49:K49"/>
    <mergeCell ref="J45:K45"/>
    <mergeCell ref="J46:K46"/>
    <mergeCell ref="J47:K47"/>
    <mergeCell ref="J48:K48"/>
    <mergeCell ref="H49:I49"/>
  </mergeCells>
  <dataValidations count="1">
    <dataValidation type="list" allowBlank="1" showInputMessage="1" showErrorMessage="1" sqref="H17:K17">
      <formula1>$AB$10:$AB$13</formula1>
    </dataValidation>
  </dataValidations>
  <printOptions/>
  <pageMargins left="0" right="0" top="0" bottom="0" header="0" footer="0"/>
  <pageSetup fitToHeight="1" fitToWidth="1" horizontalDpi="1200" verticalDpi="1200" orientation="portrait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B55"/>
  <sheetViews>
    <sheetView showGridLines="0" zoomScalePageLayoutView="0" workbookViewId="0" topLeftCell="A28">
      <selection activeCell="G7" sqref="G7"/>
    </sheetView>
  </sheetViews>
  <sheetFormatPr defaultColWidth="9.140625" defaultRowHeight="12.75"/>
  <cols>
    <col min="1" max="1" width="3.140625" style="1" customWidth="1"/>
    <col min="2" max="2" width="0.9921875" style="1" customWidth="1"/>
    <col min="3" max="3" width="34.7109375" style="1" customWidth="1"/>
    <col min="4" max="4" width="0.9921875" style="1" customWidth="1"/>
    <col min="5" max="5" width="11.421875" style="1" customWidth="1"/>
    <col min="6" max="6" width="1.8515625" style="1" bestFit="1" customWidth="1"/>
    <col min="7" max="8" width="13.8515625" style="1" customWidth="1"/>
    <col min="9" max="9" width="0.9921875" style="1" customWidth="1"/>
    <col min="10" max="10" width="13.28125" style="1" customWidth="1"/>
    <col min="11" max="11" width="13.00390625" style="1" customWidth="1"/>
    <col min="12" max="12" width="12.421875" style="9" customWidth="1"/>
    <col min="13" max="13" width="13.28125" style="1" customWidth="1"/>
    <col min="14" max="14" width="0.9921875" style="1" customWidth="1"/>
    <col min="15" max="15" width="2.57421875" style="1" customWidth="1"/>
    <col min="16" max="16384" width="9.140625" style="1" customWidth="1"/>
  </cols>
  <sheetData>
    <row r="1" ht="16.5" customHeight="1" thickBot="1"/>
    <row r="2" spans="2:14" ht="5.25" customHeight="1" thickBo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7"/>
    </row>
    <row r="3" spans="2:14" ht="68.25" customHeight="1" thickBot="1">
      <c r="B3" s="12"/>
      <c r="C3" s="224" t="s">
        <v>49</v>
      </c>
      <c r="D3" s="225"/>
      <c r="E3" s="225"/>
      <c r="F3" s="225"/>
      <c r="G3" s="225"/>
      <c r="H3" s="225"/>
      <c r="I3" s="225"/>
      <c r="J3" s="225"/>
      <c r="K3" s="225"/>
      <c r="L3" s="225"/>
      <c r="M3" s="226"/>
      <c r="N3" s="8"/>
    </row>
    <row r="4" spans="2:14" ht="18.75" customHeight="1" thickBot="1">
      <c r="B4" s="12"/>
      <c r="C4" s="133" t="s">
        <v>140</v>
      </c>
      <c r="D4" s="133"/>
      <c r="E4" s="133"/>
      <c r="F4" s="133"/>
      <c r="G4" s="133"/>
      <c r="H4" s="133"/>
      <c r="I4" s="11"/>
      <c r="J4" s="184" t="s">
        <v>56</v>
      </c>
      <c r="K4" s="184"/>
      <c r="L4" s="184"/>
      <c r="M4" s="184"/>
      <c r="N4" s="21"/>
    </row>
    <row r="5" spans="2:14" ht="15">
      <c r="B5" s="12"/>
      <c r="C5" s="52" t="s">
        <v>70</v>
      </c>
      <c r="D5" s="55"/>
      <c r="E5" s="197" t="s">
        <v>117</v>
      </c>
      <c r="F5" s="231"/>
      <c r="G5" s="232"/>
      <c r="H5" s="198"/>
      <c r="I5" s="2"/>
      <c r="J5" s="45" t="s">
        <v>72</v>
      </c>
      <c r="K5" s="188"/>
      <c r="L5" s="189"/>
      <c r="M5" s="190"/>
      <c r="N5" s="21"/>
    </row>
    <row r="6" spans="2:14" ht="15">
      <c r="B6" s="12"/>
      <c r="C6" s="53" t="s">
        <v>80</v>
      </c>
      <c r="D6" s="55"/>
      <c r="E6" s="13" t="s">
        <v>9</v>
      </c>
      <c r="F6" s="100" t="s">
        <v>10</v>
      </c>
      <c r="G6" s="71">
        <v>100000</v>
      </c>
      <c r="H6" s="48" t="s">
        <v>96</v>
      </c>
      <c r="I6" s="2"/>
      <c r="J6" s="45" t="s">
        <v>73</v>
      </c>
      <c r="K6" s="185"/>
      <c r="L6" s="186"/>
      <c r="M6" s="187"/>
      <c r="N6" s="21"/>
    </row>
    <row r="7" spans="2:14" ht="15">
      <c r="B7" s="12"/>
      <c r="C7" s="54" t="s">
        <v>141</v>
      </c>
      <c r="D7" s="55"/>
      <c r="E7" s="14" t="s">
        <v>11</v>
      </c>
      <c r="F7" s="101" t="s">
        <v>10</v>
      </c>
      <c r="G7" s="132">
        <v>0.12</v>
      </c>
      <c r="H7" s="49" t="s">
        <v>2</v>
      </c>
      <c r="I7" s="2"/>
      <c r="J7" s="45" t="s">
        <v>74</v>
      </c>
      <c r="K7" s="185" t="s">
        <v>69</v>
      </c>
      <c r="L7" s="186"/>
      <c r="M7" s="187"/>
      <c r="N7" s="21"/>
    </row>
    <row r="8" spans="2:14" ht="15">
      <c r="B8" s="12"/>
      <c r="C8" s="54" t="s">
        <v>142</v>
      </c>
      <c r="D8" s="55"/>
      <c r="E8" s="14" t="s">
        <v>12</v>
      </c>
      <c r="F8" s="101" t="s">
        <v>10</v>
      </c>
      <c r="G8" s="132">
        <v>14.4</v>
      </c>
      <c r="H8" s="49" t="s">
        <v>97</v>
      </c>
      <c r="I8" s="2"/>
      <c r="J8" s="45" t="s">
        <v>75</v>
      </c>
      <c r="K8" s="185" t="s">
        <v>69</v>
      </c>
      <c r="L8" s="186"/>
      <c r="M8" s="187"/>
      <c r="N8" s="21"/>
    </row>
    <row r="9" spans="2:14" ht="15">
      <c r="B9" s="12"/>
      <c r="C9" s="54" t="s">
        <v>83</v>
      </c>
      <c r="D9" s="55"/>
      <c r="E9" s="14" t="s">
        <v>13</v>
      </c>
      <c r="F9" s="101" t="s">
        <v>10</v>
      </c>
      <c r="G9" s="132">
        <v>6.22</v>
      </c>
      <c r="H9" s="49" t="s">
        <v>97</v>
      </c>
      <c r="I9" s="2"/>
      <c r="J9" s="123" t="s">
        <v>93</v>
      </c>
      <c r="K9" s="199" t="s">
        <v>69</v>
      </c>
      <c r="L9" s="200"/>
      <c r="M9" s="201"/>
      <c r="N9" s="21"/>
    </row>
    <row r="10" spans="2:28" ht="15">
      <c r="B10" s="12"/>
      <c r="C10" s="54" t="s">
        <v>84</v>
      </c>
      <c r="D10" s="55"/>
      <c r="E10" s="14" t="s">
        <v>14</v>
      </c>
      <c r="F10" s="101" t="s">
        <v>10</v>
      </c>
      <c r="G10" s="72">
        <v>8</v>
      </c>
      <c r="H10" s="49" t="s">
        <v>139</v>
      </c>
      <c r="I10" s="2"/>
      <c r="J10" s="45" t="s">
        <v>76</v>
      </c>
      <c r="K10" s="185" t="s">
        <v>69</v>
      </c>
      <c r="L10" s="186"/>
      <c r="M10" s="187"/>
      <c r="N10" s="21"/>
      <c r="AB10" s="1" t="s">
        <v>57</v>
      </c>
    </row>
    <row r="11" spans="2:28" ht="15">
      <c r="B11" s="12"/>
      <c r="C11" s="54" t="s">
        <v>85</v>
      </c>
      <c r="D11" s="55"/>
      <c r="E11" s="14" t="s">
        <v>15</v>
      </c>
      <c r="F11" s="101" t="s">
        <v>10</v>
      </c>
      <c r="G11" s="72">
        <v>0</v>
      </c>
      <c r="H11" s="49" t="s">
        <v>139</v>
      </c>
      <c r="I11" s="59"/>
      <c r="J11" s="45" t="s">
        <v>77</v>
      </c>
      <c r="K11" s="185" t="s">
        <v>69</v>
      </c>
      <c r="L11" s="186"/>
      <c r="M11" s="187"/>
      <c r="N11" s="21"/>
      <c r="AB11" s="1" t="s">
        <v>58</v>
      </c>
    </row>
    <row r="12" spans="2:28" ht="15">
      <c r="B12" s="12"/>
      <c r="C12" s="54" t="s">
        <v>86</v>
      </c>
      <c r="D12" s="55"/>
      <c r="E12" s="14" t="s">
        <v>16</v>
      </c>
      <c r="F12" s="101" t="s">
        <v>10</v>
      </c>
      <c r="G12" s="72">
        <v>8</v>
      </c>
      <c r="H12" s="49" t="s">
        <v>139</v>
      </c>
      <c r="I12" s="59"/>
      <c r="J12" s="103" t="s">
        <v>78</v>
      </c>
      <c r="K12" s="208" t="s">
        <v>69</v>
      </c>
      <c r="L12" s="209"/>
      <c r="M12" s="210"/>
      <c r="N12" s="21"/>
      <c r="AB12" s="1" t="s">
        <v>59</v>
      </c>
    </row>
    <row r="13" spans="2:28" ht="15" customHeight="1">
      <c r="B13" s="12"/>
      <c r="C13" s="54" t="s">
        <v>87</v>
      </c>
      <c r="D13" s="55"/>
      <c r="E13" s="14" t="s">
        <v>17</v>
      </c>
      <c r="F13" s="101" t="s">
        <v>10</v>
      </c>
      <c r="G13" s="72">
        <v>0</v>
      </c>
      <c r="H13" s="49" t="s">
        <v>139</v>
      </c>
      <c r="I13" s="59"/>
      <c r="J13" s="214" t="s">
        <v>79</v>
      </c>
      <c r="K13" s="215"/>
      <c r="L13" s="215"/>
      <c r="M13" s="216"/>
      <c r="N13" s="21"/>
      <c r="AB13" s="1" t="s">
        <v>60</v>
      </c>
    </row>
    <row r="14" spans="2:14" ht="15">
      <c r="B14" s="12"/>
      <c r="C14" s="54" t="s">
        <v>88</v>
      </c>
      <c r="D14" s="55"/>
      <c r="E14" s="14" t="s">
        <v>18</v>
      </c>
      <c r="F14" s="101" t="s">
        <v>10</v>
      </c>
      <c r="G14" s="72">
        <v>0</v>
      </c>
      <c r="H14" s="49" t="s">
        <v>3</v>
      </c>
      <c r="I14" s="59"/>
      <c r="J14" s="217"/>
      <c r="K14" s="218"/>
      <c r="L14" s="218"/>
      <c r="M14" s="219"/>
      <c r="N14" s="21"/>
    </row>
    <row r="15" spans="2:14" ht="16.5" customHeight="1">
      <c r="B15" s="12"/>
      <c r="C15" s="54" t="s">
        <v>89</v>
      </c>
      <c r="D15" s="104"/>
      <c r="E15" s="105" t="s">
        <v>19</v>
      </c>
      <c r="F15" s="106" t="s">
        <v>10</v>
      </c>
      <c r="G15" s="107">
        <v>230</v>
      </c>
      <c r="H15" s="108" t="s">
        <v>99</v>
      </c>
      <c r="I15" s="59"/>
      <c r="J15" s="220" t="s">
        <v>144</v>
      </c>
      <c r="K15" s="221"/>
      <c r="L15" s="221"/>
      <c r="M15" s="222"/>
      <c r="N15" s="21"/>
    </row>
    <row r="16" spans="2:14" ht="15" customHeight="1">
      <c r="B16" s="12"/>
      <c r="C16" s="54" t="s">
        <v>90</v>
      </c>
      <c r="D16" s="55"/>
      <c r="E16" s="14" t="s">
        <v>20</v>
      </c>
      <c r="F16" s="101" t="s">
        <v>10</v>
      </c>
      <c r="G16" s="73">
        <v>175</v>
      </c>
      <c r="H16" s="108" t="s">
        <v>99</v>
      </c>
      <c r="I16" s="59"/>
      <c r="J16" s="191" t="s">
        <v>91</v>
      </c>
      <c r="K16" s="192"/>
      <c r="L16" s="192"/>
      <c r="M16" s="193"/>
      <c r="N16" s="21"/>
    </row>
    <row r="17" spans="2:14" ht="15">
      <c r="B17" s="12"/>
      <c r="C17" s="54" t="s">
        <v>94</v>
      </c>
      <c r="D17" s="55"/>
      <c r="E17" s="14" t="s">
        <v>21</v>
      </c>
      <c r="F17" s="101" t="s">
        <v>10</v>
      </c>
      <c r="G17" s="73">
        <v>65</v>
      </c>
      <c r="H17" s="49" t="s">
        <v>0</v>
      </c>
      <c r="I17" s="59"/>
      <c r="J17" s="194"/>
      <c r="K17" s="195"/>
      <c r="L17" s="195"/>
      <c r="M17" s="196"/>
      <c r="N17" s="21"/>
    </row>
    <row r="18" spans="2:14" ht="15">
      <c r="B18" s="12"/>
      <c r="C18" s="54" t="s">
        <v>101</v>
      </c>
      <c r="D18" s="55"/>
      <c r="E18" s="14" t="s">
        <v>22</v>
      </c>
      <c r="F18" s="101" t="s">
        <v>10</v>
      </c>
      <c r="G18" s="73">
        <v>10</v>
      </c>
      <c r="H18" s="49" t="s">
        <v>0</v>
      </c>
      <c r="I18" s="59"/>
      <c r="J18" s="51" t="s">
        <v>92</v>
      </c>
      <c r="K18" s="47"/>
      <c r="L18" s="47"/>
      <c r="M18" s="44"/>
      <c r="N18" s="21"/>
    </row>
    <row r="19" spans="2:14" ht="15">
      <c r="B19" s="12"/>
      <c r="C19" s="54" t="s">
        <v>95</v>
      </c>
      <c r="D19" s="55"/>
      <c r="E19" s="14" t="s">
        <v>23</v>
      </c>
      <c r="F19" s="101" t="s">
        <v>10</v>
      </c>
      <c r="G19" s="73">
        <v>30</v>
      </c>
      <c r="H19" s="49" t="s">
        <v>0</v>
      </c>
      <c r="I19" s="59"/>
      <c r="J19" s="202"/>
      <c r="K19" s="203"/>
      <c r="L19" s="203"/>
      <c r="M19" s="204"/>
      <c r="N19" s="21"/>
    </row>
    <row r="20" spans="2:14" ht="15.75" thickBot="1">
      <c r="B20" s="12"/>
      <c r="C20" s="54" t="s">
        <v>100</v>
      </c>
      <c r="D20" s="55"/>
      <c r="E20" s="15" t="s">
        <v>24</v>
      </c>
      <c r="F20" s="102" t="s">
        <v>10</v>
      </c>
      <c r="G20" s="99">
        <v>1.5</v>
      </c>
      <c r="H20" s="50" t="s">
        <v>0</v>
      </c>
      <c r="I20" s="59"/>
      <c r="J20" s="205"/>
      <c r="K20" s="206"/>
      <c r="L20" s="206"/>
      <c r="M20" s="207"/>
      <c r="N20" s="21"/>
    </row>
    <row r="21" spans="2:14" ht="7.5" customHeight="1" thickBot="1">
      <c r="B21" s="16"/>
      <c r="C21" s="17"/>
      <c r="D21" s="17"/>
      <c r="E21" s="18"/>
      <c r="F21" s="109"/>
      <c r="G21" s="19"/>
      <c r="H21" s="110"/>
      <c r="I21" s="110"/>
      <c r="J21" s="17"/>
      <c r="K21" s="17"/>
      <c r="L21" s="42"/>
      <c r="M21" s="17"/>
      <c r="N21" s="43"/>
    </row>
    <row r="22" ht="15" customHeight="1" thickBot="1">
      <c r="L22" s="1"/>
    </row>
    <row r="23" spans="2:14" ht="7.5" customHeight="1" thickBot="1">
      <c r="B23" s="10"/>
      <c r="C23" s="133" t="s">
        <v>61</v>
      </c>
      <c r="D23" s="133"/>
      <c r="E23" s="133"/>
      <c r="F23" s="133"/>
      <c r="G23" s="133"/>
      <c r="H23" s="133"/>
      <c r="I23" s="61"/>
      <c r="J23" s="11"/>
      <c r="K23" s="11"/>
      <c r="L23" s="20"/>
      <c r="M23" s="11"/>
      <c r="N23" s="7"/>
    </row>
    <row r="24" spans="2:14" ht="15.75" thickBot="1">
      <c r="B24" s="12"/>
      <c r="C24" s="227"/>
      <c r="D24" s="227"/>
      <c r="E24" s="227"/>
      <c r="F24" s="227"/>
      <c r="G24" s="227"/>
      <c r="H24" s="227"/>
      <c r="I24" s="2"/>
      <c r="J24" s="182" t="s">
        <v>1</v>
      </c>
      <c r="K24" s="183"/>
      <c r="L24" s="182" t="s">
        <v>108</v>
      </c>
      <c r="M24" s="183"/>
      <c r="N24" s="21"/>
    </row>
    <row r="25" spans="2:14" ht="15">
      <c r="B25" s="12"/>
      <c r="C25" s="98" t="s">
        <v>120</v>
      </c>
      <c r="D25" s="55"/>
      <c r="E25" s="197" t="s">
        <v>121</v>
      </c>
      <c r="F25" s="232"/>
      <c r="G25" s="232"/>
      <c r="H25" s="198"/>
      <c r="I25" s="79"/>
      <c r="J25" s="3" t="s">
        <v>109</v>
      </c>
      <c r="K25" s="4" t="s">
        <v>110</v>
      </c>
      <c r="L25" s="3" t="s">
        <v>109</v>
      </c>
      <c r="M25" s="4" t="s">
        <v>110</v>
      </c>
      <c r="N25" s="21"/>
    </row>
    <row r="26" spans="2:14" ht="12.75" customHeight="1">
      <c r="B26" s="12"/>
      <c r="C26" s="81" t="s">
        <v>122</v>
      </c>
      <c r="D26" s="55"/>
      <c r="E26" s="68" t="s">
        <v>25</v>
      </c>
      <c r="F26" s="22" t="s">
        <v>10</v>
      </c>
      <c r="G26" s="245" t="s">
        <v>26</v>
      </c>
      <c r="H26" s="246"/>
      <c r="I26" s="79"/>
      <c r="J26" s="87">
        <f>PCOHDNoPS*BDY</f>
        <v>1840</v>
      </c>
      <c r="K26" s="88">
        <f>PCOHDWithPS*BDY</f>
        <v>0</v>
      </c>
      <c r="L26" s="87">
        <f>PCOHDNoPS*SDY</f>
        <v>1400</v>
      </c>
      <c r="M26" s="88">
        <f>PCOHDWithPS*SDY</f>
        <v>0</v>
      </c>
      <c r="N26" s="21"/>
    </row>
    <row r="27" spans="2:14" ht="15" customHeight="1">
      <c r="B27" s="12"/>
      <c r="C27" s="82" t="s">
        <v>123</v>
      </c>
      <c r="D27" s="55"/>
      <c r="E27" s="33" t="s">
        <v>27</v>
      </c>
      <c r="F27" s="23" t="s">
        <v>10</v>
      </c>
      <c r="G27" s="235" t="s">
        <v>50</v>
      </c>
      <c r="H27" s="236"/>
      <c r="I27" s="79"/>
      <c r="J27" s="89">
        <f>8760-PCOHYNoPSCorp</f>
        <v>6920</v>
      </c>
      <c r="K27" s="70">
        <f>8760-PCOHYWithPSCorp</f>
        <v>8760</v>
      </c>
      <c r="L27" s="89">
        <f>8760-PCOHYNoPSEduc</f>
        <v>7360</v>
      </c>
      <c r="M27" s="70">
        <f>8760-PCOHYWithPSEduc</f>
        <v>8760</v>
      </c>
      <c r="N27" s="21"/>
    </row>
    <row r="28" spans="2:14" ht="12.75" customHeight="1">
      <c r="B28" s="12"/>
      <c r="C28" s="83" t="s">
        <v>124</v>
      </c>
      <c r="D28" s="55"/>
      <c r="E28" s="68" t="s">
        <v>28</v>
      </c>
      <c r="F28" s="23" t="s">
        <v>10</v>
      </c>
      <c r="G28" s="235" t="s">
        <v>29</v>
      </c>
      <c r="H28" s="236"/>
      <c r="I28" s="79"/>
      <c r="J28" s="87">
        <f>MOHDNoPS*BDY</f>
        <v>1840</v>
      </c>
      <c r="K28" s="88">
        <f>MOHDWithPS*BDY</f>
        <v>0</v>
      </c>
      <c r="L28" s="87">
        <f>MOHDNoPS*SDY</f>
        <v>1400</v>
      </c>
      <c r="M28" s="88">
        <f>MOHDWithPS*SDY</f>
        <v>0</v>
      </c>
      <c r="N28" s="21"/>
    </row>
    <row r="29" spans="2:14" ht="15" customHeight="1">
      <c r="B29" s="12"/>
      <c r="C29" s="84" t="s">
        <v>125</v>
      </c>
      <c r="D29" s="55"/>
      <c r="E29" s="69" t="s">
        <v>30</v>
      </c>
      <c r="F29" s="24" t="s">
        <v>10</v>
      </c>
      <c r="G29" s="237" t="s">
        <v>51</v>
      </c>
      <c r="H29" s="238"/>
      <c r="I29" s="79"/>
      <c r="J29" s="90">
        <f>8760-MOHYNoPSCorp</f>
        <v>6920</v>
      </c>
      <c r="K29" s="91">
        <f>8760-MOHYWithPSCorp</f>
        <v>8760</v>
      </c>
      <c r="L29" s="90">
        <f>8760-MOHYNoPSEduc</f>
        <v>7360</v>
      </c>
      <c r="M29" s="91">
        <f>8760-MOHYWithPSEduc</f>
        <v>8760</v>
      </c>
      <c r="N29" s="21"/>
    </row>
    <row r="30" spans="2:14" ht="25.5" customHeight="1">
      <c r="B30" s="12"/>
      <c r="C30" s="85" t="s">
        <v>126</v>
      </c>
      <c r="D30" s="55"/>
      <c r="E30" s="25" t="s">
        <v>31</v>
      </c>
      <c r="F30" s="26" t="s">
        <v>10</v>
      </c>
      <c r="G30" s="239" t="s">
        <v>32</v>
      </c>
      <c r="H30" s="240"/>
      <c r="I30" s="79"/>
      <c r="J30" s="92">
        <f>PCOHYNoPSCorp*PCCO+PCNHYNoPSCorp*PCCS</f>
        <v>188800</v>
      </c>
      <c r="K30" s="93">
        <f>PCOHYWithPSCorp*PCCO+PCNHYWithPSCorp*PCCS</f>
        <v>87600</v>
      </c>
      <c r="L30" s="92">
        <f>PCOHYNoPSEduc*PCCO+PCNHYNoPSEduc*PCCS</f>
        <v>164600</v>
      </c>
      <c r="M30" s="93">
        <f>PCOHYWithPSEduc*PCCO+PCNHYWithPSEduc*PCCS</f>
        <v>87600</v>
      </c>
      <c r="N30" s="21"/>
    </row>
    <row r="31" spans="2:14" ht="25.5" customHeight="1">
      <c r="B31" s="12"/>
      <c r="C31" s="64" t="s">
        <v>127</v>
      </c>
      <c r="D31" s="55"/>
      <c r="E31" s="27" t="s">
        <v>33</v>
      </c>
      <c r="F31" s="28" t="s">
        <v>10</v>
      </c>
      <c r="G31" s="241" t="s">
        <v>52</v>
      </c>
      <c r="H31" s="242"/>
      <c r="I31" s="79"/>
      <c r="J31" s="178">
        <f>PCOHYWithPSCorp*PCCO</f>
        <v>0</v>
      </c>
      <c r="K31" s="179"/>
      <c r="L31" s="178">
        <f>PCOHYWithPSEduc*PCCO</f>
        <v>0</v>
      </c>
      <c r="M31" s="179"/>
      <c r="N31" s="21"/>
    </row>
    <row r="32" spans="2:14" ht="26.25" customHeight="1">
      <c r="B32" s="12"/>
      <c r="C32" s="86" t="s">
        <v>128</v>
      </c>
      <c r="D32" s="55"/>
      <c r="E32" s="29" t="s">
        <v>34</v>
      </c>
      <c r="F32" s="30" t="s">
        <v>10</v>
      </c>
      <c r="G32" s="243" t="s">
        <v>53</v>
      </c>
      <c r="H32" s="244"/>
      <c r="I32" s="79"/>
      <c r="J32" s="180">
        <f>MOHYNoPSCorp*MCO+MNHYNoPSCorp*MCS</f>
        <v>65580</v>
      </c>
      <c r="K32" s="181"/>
      <c r="L32" s="180">
        <f>MOHYNoPSEduc*MCO+MNHYNoPSEduc*MCS</f>
        <v>53040</v>
      </c>
      <c r="M32" s="181"/>
      <c r="N32" s="21"/>
    </row>
    <row r="33" spans="2:14" ht="25.5">
      <c r="B33" s="12"/>
      <c r="C33" s="62" t="s">
        <v>129</v>
      </c>
      <c r="D33" s="55"/>
      <c r="E33" s="31" t="s">
        <v>35</v>
      </c>
      <c r="F33" s="32" t="s">
        <v>10</v>
      </c>
      <c r="G33" s="245" t="s">
        <v>36</v>
      </c>
      <c r="H33" s="246"/>
      <c r="I33" s="79"/>
      <c r="J33" s="94">
        <f>PCCYNoPSCorp+MCYCorp</f>
        <v>254380</v>
      </c>
      <c r="K33" s="95">
        <f>PCCYWithPSCorp+MCYCorp</f>
        <v>153180</v>
      </c>
      <c r="L33" s="94">
        <f>PCCYNoPSEduc+MCYEduc</f>
        <v>217640</v>
      </c>
      <c r="M33" s="96">
        <f>PCCYWithPSEduc+MCYEduc</f>
        <v>140640</v>
      </c>
      <c r="N33" s="21"/>
    </row>
    <row r="34" spans="2:14" ht="25.5" customHeight="1">
      <c r="B34" s="12"/>
      <c r="C34" s="63" t="s">
        <v>130</v>
      </c>
      <c r="D34" s="55"/>
      <c r="E34" s="33" t="s">
        <v>37</v>
      </c>
      <c r="F34" s="23" t="s">
        <v>10</v>
      </c>
      <c r="G34" s="235" t="s">
        <v>54</v>
      </c>
      <c r="H34" s="236"/>
      <c r="I34" s="79"/>
      <c r="J34" s="136">
        <f>PCCYMPOCorp+MCYCorp</f>
        <v>65580</v>
      </c>
      <c r="K34" s="137"/>
      <c r="L34" s="136">
        <f>PCCYMPOEduc+MCYEduc</f>
        <v>53040</v>
      </c>
      <c r="M34" s="137"/>
      <c r="N34" s="21"/>
    </row>
    <row r="35" spans="2:14" ht="25.5">
      <c r="B35" s="12"/>
      <c r="C35" s="64" t="s">
        <v>131</v>
      </c>
      <c r="D35" s="55"/>
      <c r="E35" s="27" t="s">
        <v>38</v>
      </c>
      <c r="F35" s="28" t="s">
        <v>10</v>
      </c>
      <c r="G35" s="241" t="s">
        <v>39</v>
      </c>
      <c r="H35" s="242"/>
      <c r="I35" s="79"/>
      <c r="J35" s="97">
        <f>TCYNoPSCorp/1000*ET</f>
        <v>30.525599999999997</v>
      </c>
      <c r="K35" s="67">
        <f>TCYWithPSCorp/1000*ET</f>
        <v>18.3816</v>
      </c>
      <c r="L35" s="97">
        <f>TCYNoPSEduc/1000*ET</f>
        <v>26.116799999999998</v>
      </c>
      <c r="M35" s="67">
        <f>TCYWithPSEduc/1000*ET</f>
        <v>16.8768</v>
      </c>
      <c r="N35" s="21"/>
    </row>
    <row r="36" spans="2:14" ht="25.5" customHeight="1">
      <c r="B36" s="12"/>
      <c r="C36" s="64" t="s">
        <v>132</v>
      </c>
      <c r="D36" s="55"/>
      <c r="E36" s="27" t="s">
        <v>40</v>
      </c>
      <c r="F36" s="28" t="s">
        <v>10</v>
      </c>
      <c r="G36" s="241" t="s">
        <v>55</v>
      </c>
      <c r="H36" s="242"/>
      <c r="I36" s="79"/>
      <c r="J36" s="138">
        <f>TCYMPOCorp/1000*ET</f>
        <v>7.869599999999999</v>
      </c>
      <c r="K36" s="139"/>
      <c r="L36" s="138">
        <f>TCYMPOEduc/1000*ET</f>
        <v>6.3648</v>
      </c>
      <c r="M36" s="139"/>
      <c r="N36" s="21"/>
    </row>
    <row r="37" spans="2:14" ht="25.5" customHeight="1" thickBot="1">
      <c r="B37" s="12"/>
      <c r="C37" s="125" t="s">
        <v>133</v>
      </c>
      <c r="D37" s="55"/>
      <c r="E37" s="34" t="s">
        <v>41</v>
      </c>
      <c r="F37" s="35" t="s">
        <v>10</v>
      </c>
      <c r="G37" s="233" t="s">
        <v>42</v>
      </c>
      <c r="H37" s="234"/>
      <c r="I37" s="79"/>
      <c r="J37" s="5">
        <f>ECYNoPSCorp*NC*(100-PCMPO)/100+ECYMPOCorp*NC*PCMPO/100</f>
        <v>3052559.9999999995</v>
      </c>
      <c r="K37" s="46">
        <f>ECYWithPSCorp*NC*(100-PCMPO)/100+ECYMPOCorp*NC*PCMPO/100</f>
        <v>1838159.9999999998</v>
      </c>
      <c r="L37" s="5">
        <f>ECYNoPSEduc*NC*(100-PCMPO)/100+ECYMPOEduc*NC*PCMPO/100</f>
        <v>2611680</v>
      </c>
      <c r="M37" s="6">
        <f>ECYWithPSEduc*NC*(100-PCMPO)/100+ECYMPOEduc*NC*PCMPO/100</f>
        <v>1687680</v>
      </c>
      <c r="N37" s="21"/>
    </row>
    <row r="38" spans="2:14" ht="15">
      <c r="B38" s="12"/>
      <c r="C38" s="126" t="s">
        <v>134</v>
      </c>
      <c r="D38" s="55"/>
      <c r="E38" s="36" t="s">
        <v>43</v>
      </c>
      <c r="F38" s="37" t="s">
        <v>10</v>
      </c>
      <c r="G38" s="65" t="s">
        <v>44</v>
      </c>
      <c r="H38" s="56"/>
      <c r="I38" s="79"/>
      <c r="J38" s="148">
        <f>NC*PSPCorp</f>
        <v>1440000</v>
      </c>
      <c r="K38" s="149"/>
      <c r="L38" s="148">
        <f>NC*PSPEduc</f>
        <v>622000</v>
      </c>
      <c r="M38" s="149"/>
      <c r="N38" s="21"/>
    </row>
    <row r="39" spans="2:14" ht="15">
      <c r="B39" s="12"/>
      <c r="C39" s="126" t="s">
        <v>106</v>
      </c>
      <c r="D39" s="55"/>
      <c r="E39" s="38" t="s">
        <v>45</v>
      </c>
      <c r="F39" s="39" t="s">
        <v>10</v>
      </c>
      <c r="G39" s="66" t="s">
        <v>46</v>
      </c>
      <c r="H39" s="57"/>
      <c r="I39" s="79"/>
      <c r="J39" s="168">
        <f>IF(TCANoPSCorp=TCAWithPSCorp,"n/a",(TCANoPSCorp-TCAWithPSCorp)/12)</f>
        <v>101199.99999999999</v>
      </c>
      <c r="K39" s="169"/>
      <c r="L39" s="168">
        <f>IF(TCANoPSEduc=TCAWithPSEduc,"n/a",(TCANoPSEduc-TCAWithPSEduc)/12)</f>
        <v>77000</v>
      </c>
      <c r="M39" s="169"/>
      <c r="N39" s="21"/>
    </row>
    <row r="40" spans="2:14" ht="15.75" thickBot="1">
      <c r="B40" s="12"/>
      <c r="C40" s="127" t="s">
        <v>107</v>
      </c>
      <c r="D40" s="55"/>
      <c r="E40" s="40" t="s">
        <v>47</v>
      </c>
      <c r="F40" s="41" t="s">
        <v>10</v>
      </c>
      <c r="G40" s="80" t="s">
        <v>48</v>
      </c>
      <c r="H40" s="58"/>
      <c r="I40" s="79"/>
      <c r="J40" s="170">
        <f>IF(ROSCorp="n/a","n/a",PSCCorp/ROSCorp)</f>
        <v>14.229249011857709</v>
      </c>
      <c r="K40" s="171"/>
      <c r="L40" s="170">
        <f>IF(ROSEduc="n/a","n/a",PSCEduc/ROSEduc)</f>
        <v>8.077922077922079</v>
      </c>
      <c r="M40" s="171"/>
      <c r="N40" s="21"/>
    </row>
    <row r="41" spans="2:14" ht="5.25" customHeight="1" thickBot="1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43"/>
    </row>
    <row r="42" ht="16.5" customHeight="1" thickBot="1">
      <c r="L42" s="1"/>
    </row>
    <row r="43" spans="4:14" ht="5.25" customHeight="1">
      <c r="D43" s="10"/>
      <c r="E43" s="133" t="s">
        <v>137</v>
      </c>
      <c r="F43" s="133"/>
      <c r="G43" s="133"/>
      <c r="H43" s="133"/>
      <c r="I43" s="133"/>
      <c r="J43" s="133"/>
      <c r="K43" s="133" t="s">
        <v>138</v>
      </c>
      <c r="L43" s="133"/>
      <c r="M43" s="133"/>
      <c r="N43" s="7"/>
    </row>
    <row r="44" spans="4:14" ht="20.25" customHeight="1" thickBot="1">
      <c r="D44" s="12"/>
      <c r="E44" s="227"/>
      <c r="F44" s="227"/>
      <c r="G44" s="227"/>
      <c r="H44" s="227"/>
      <c r="I44" s="227"/>
      <c r="J44" s="227"/>
      <c r="K44" s="223"/>
      <c r="L44" s="223"/>
      <c r="M44" s="223"/>
      <c r="N44" s="21"/>
    </row>
    <row r="45" spans="4:14" ht="12.75">
      <c r="D45" s="12"/>
      <c r="E45" s="228" t="s">
        <v>116</v>
      </c>
      <c r="F45" s="229"/>
      <c r="G45" s="229"/>
      <c r="H45" s="230"/>
      <c r="I45" s="78"/>
      <c r="J45" s="254">
        <f>(TCANoPSCorp-TCAWithPSCorp)/1250</f>
        <v>971.5199999999999</v>
      </c>
      <c r="K45" s="255"/>
      <c r="L45" s="254">
        <f>(TCANoPSEduc-TCAWithPSEduc)/1250</f>
        <v>739.2</v>
      </c>
      <c r="M45" s="255"/>
      <c r="N45" s="21"/>
    </row>
    <row r="46" spans="4:14" ht="12.75">
      <c r="D46" s="12"/>
      <c r="E46" s="249" t="s">
        <v>113</v>
      </c>
      <c r="F46" s="250"/>
      <c r="G46" s="250"/>
      <c r="H46" s="251"/>
      <c r="I46" s="78"/>
      <c r="J46" s="252">
        <f>(TCANoPSCorp-TCAWithPSCorp)*1.43</f>
        <v>1736591.9999999995</v>
      </c>
      <c r="K46" s="253"/>
      <c r="L46" s="252">
        <f>(TCANoPSEduc-TCAWithPSEduc)*1.43</f>
        <v>1321320</v>
      </c>
      <c r="M46" s="253"/>
      <c r="N46" s="21"/>
    </row>
    <row r="47" spans="4:14" ht="12.75">
      <c r="D47" s="12"/>
      <c r="E47" s="249" t="s">
        <v>115</v>
      </c>
      <c r="F47" s="250"/>
      <c r="G47" s="250"/>
      <c r="H47" s="251"/>
      <c r="I47" s="78"/>
      <c r="J47" s="252">
        <f>J46*0.0004535924</f>
        <v>787.7049331007997</v>
      </c>
      <c r="K47" s="253"/>
      <c r="L47" s="252">
        <f>L46*0.0004535924</f>
        <v>599.3407099679999</v>
      </c>
      <c r="M47" s="253"/>
      <c r="N47" s="21"/>
    </row>
    <row r="48" spans="4:14" ht="12.75" customHeight="1">
      <c r="D48" s="12"/>
      <c r="E48" s="249" t="s">
        <v>114</v>
      </c>
      <c r="F48" s="250"/>
      <c r="G48" s="250"/>
      <c r="H48" s="251"/>
      <c r="I48" s="78"/>
      <c r="J48" s="252">
        <f>J46/11560</f>
        <v>150.22422145328716</v>
      </c>
      <c r="K48" s="253"/>
      <c r="L48" s="252">
        <f>L46/11560</f>
        <v>114.30103806228374</v>
      </c>
      <c r="M48" s="253"/>
      <c r="N48" s="21"/>
    </row>
    <row r="49" spans="4:14" ht="13.5" thickBot="1">
      <c r="D49" s="12"/>
      <c r="E49" s="258" t="s">
        <v>119</v>
      </c>
      <c r="F49" s="259"/>
      <c r="G49" s="259"/>
      <c r="H49" s="260"/>
      <c r="I49" s="78"/>
      <c r="J49" s="256">
        <f>J46/7333</f>
        <v>236.8187644892949</v>
      </c>
      <c r="K49" s="257"/>
      <c r="L49" s="256">
        <f>L46/7333</f>
        <v>180.18819037228965</v>
      </c>
      <c r="M49" s="257"/>
      <c r="N49" s="21"/>
    </row>
    <row r="50" spans="4:14" ht="4.5" customHeight="1" thickBot="1">
      <c r="D50" s="16"/>
      <c r="E50" s="17"/>
      <c r="F50" s="17"/>
      <c r="G50" s="17"/>
      <c r="H50" s="17"/>
      <c r="I50" s="17"/>
      <c r="J50" s="17"/>
      <c r="K50" s="17"/>
      <c r="L50" s="42"/>
      <c r="M50" s="17"/>
      <c r="N50" s="43"/>
    </row>
    <row r="51" spans="1:13" ht="17.25">
      <c r="A51" s="112"/>
      <c r="B51" s="112"/>
      <c r="C51" s="248" t="s">
        <v>135</v>
      </c>
      <c r="D51" s="248"/>
      <c r="E51" s="248"/>
      <c r="F51" s="248"/>
      <c r="G51" s="248"/>
      <c r="H51" s="248"/>
      <c r="I51" s="248"/>
      <c r="J51" s="248"/>
      <c r="K51" s="248"/>
      <c r="L51" s="248"/>
      <c r="M51" s="248"/>
    </row>
    <row r="52" spans="1:13" ht="32.25" customHeight="1">
      <c r="A52" s="112"/>
      <c r="B52" s="112"/>
      <c r="C52" s="247" t="s">
        <v>136</v>
      </c>
      <c r="D52" s="248"/>
      <c r="E52" s="248"/>
      <c r="F52" s="248"/>
      <c r="G52" s="248"/>
      <c r="H52" s="248"/>
      <c r="I52" s="248"/>
      <c r="J52" s="248"/>
      <c r="K52" s="248"/>
      <c r="L52" s="248"/>
      <c r="M52" s="248"/>
    </row>
    <row r="53" spans="1:13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3"/>
      <c r="M53" s="112"/>
    </row>
    <row r="54" spans="1:13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3"/>
      <c r="M54" s="112"/>
    </row>
    <row r="55" spans="1:13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3"/>
      <c r="M55" s="112"/>
    </row>
  </sheetData>
  <sheetProtection/>
  <mergeCells count="66">
    <mergeCell ref="L49:M49"/>
    <mergeCell ref="C51:M51"/>
    <mergeCell ref="E47:H47"/>
    <mergeCell ref="E48:H48"/>
    <mergeCell ref="J47:K47"/>
    <mergeCell ref="J48:K48"/>
    <mergeCell ref="J49:K49"/>
    <mergeCell ref="L47:M47"/>
    <mergeCell ref="L48:M48"/>
    <mergeCell ref="E49:H49"/>
    <mergeCell ref="L46:M46"/>
    <mergeCell ref="J46:K46"/>
    <mergeCell ref="J36:K36"/>
    <mergeCell ref="L36:M36"/>
    <mergeCell ref="J38:K38"/>
    <mergeCell ref="L39:M39"/>
    <mergeCell ref="J40:K40"/>
    <mergeCell ref="L40:M40"/>
    <mergeCell ref="J45:K45"/>
    <mergeCell ref="L45:M45"/>
    <mergeCell ref="C4:H4"/>
    <mergeCell ref="G26:H26"/>
    <mergeCell ref="G27:H27"/>
    <mergeCell ref="L34:M34"/>
    <mergeCell ref="G34:H34"/>
    <mergeCell ref="K7:M7"/>
    <mergeCell ref="L24:M24"/>
    <mergeCell ref="J24:K24"/>
    <mergeCell ref="C52:M52"/>
    <mergeCell ref="J39:K39"/>
    <mergeCell ref="J31:K31"/>
    <mergeCell ref="L31:M31"/>
    <mergeCell ref="J32:K32"/>
    <mergeCell ref="L32:M32"/>
    <mergeCell ref="J34:K34"/>
    <mergeCell ref="E46:H46"/>
    <mergeCell ref="L38:M38"/>
    <mergeCell ref="G36:H36"/>
    <mergeCell ref="G37:H37"/>
    <mergeCell ref="G28:H28"/>
    <mergeCell ref="G29:H29"/>
    <mergeCell ref="G30:H30"/>
    <mergeCell ref="G31:H31"/>
    <mergeCell ref="G32:H32"/>
    <mergeCell ref="G33:H33"/>
    <mergeCell ref="G35:H35"/>
    <mergeCell ref="E45:H45"/>
    <mergeCell ref="E5:H5"/>
    <mergeCell ref="E25:H25"/>
    <mergeCell ref="K12:M12"/>
    <mergeCell ref="J13:M14"/>
    <mergeCell ref="J15:M15"/>
    <mergeCell ref="J16:M16"/>
    <mergeCell ref="K8:M8"/>
    <mergeCell ref="K9:M9"/>
    <mergeCell ref="K10:M10"/>
    <mergeCell ref="K43:M44"/>
    <mergeCell ref="C3:M3"/>
    <mergeCell ref="E43:J44"/>
    <mergeCell ref="C23:H24"/>
    <mergeCell ref="J17:M17"/>
    <mergeCell ref="J19:M20"/>
    <mergeCell ref="J4:M4"/>
    <mergeCell ref="K11:M11"/>
    <mergeCell ref="K5:M5"/>
    <mergeCell ref="K6:M6"/>
  </mergeCells>
  <dataValidations count="1">
    <dataValidation type="list" allowBlank="1" showInputMessage="1" showErrorMessage="1" sqref="J17:M17">
      <formula1>$AB$10:$AB$13</formula1>
    </dataValidation>
  </dataValidations>
  <printOptions/>
  <pageMargins left="0" right="0" top="0" bottom="0" header="0" footer="0"/>
  <pageSetup fitToHeight="1" fitToWidth="1" horizontalDpi="1200" verticalDpi="12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Dmitry Shesterin</Manager>
  <Company>Faronics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Faronics Power Save ROI Calculator</dc:title>
  <dc:subject>Faronics Power Save ROI Calculator</dc:subject>
  <dc:creator>Dmitry Shesterin, Shawn Campbell, Troy Zirk</dc:creator>
  <cp:keywords>power save, energy management</cp:keywords>
  <dc:description/>
  <cp:lastModifiedBy>admin</cp:lastModifiedBy>
  <cp:lastPrinted>2008-04-01T19:26:55Z</cp:lastPrinted>
  <dcterms:created xsi:type="dcterms:W3CDTF">2008-02-07T00:23:29Z</dcterms:created>
  <dcterms:modified xsi:type="dcterms:W3CDTF">2008-06-11T09:46:57Z</dcterms:modified>
  <cp:category>Energy management ROI</cp:category>
  <cp:version/>
  <cp:contentType/>
  <cp:contentStatus/>
</cp:coreProperties>
</file>